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0" yWindow="60" windowWidth="15195" windowHeight="7755" tabRatio="930" activeTab="8"/>
  </bookViews>
  <sheets>
    <sheet name="СМЕТА" sheetId="1" r:id="rId1"/>
    <sheet name="тариф" sheetId="2" r:id="rId2"/>
    <sheet name="сант" sheetId="3" r:id="rId3"/>
    <sheet name="элек" sheetId="4" r:id="rId4"/>
    <sheet name="паспотист" sheetId="5" r:id="rId5"/>
    <sheet name="авар" sheetId="6" r:id="rId6"/>
    <sheet name="ОЦР" sheetId="7" r:id="rId7"/>
    <sheet name="Прил 2.3 ОЦР " sheetId="8" r:id="rId8"/>
    <sheet name="Лист1" sheetId="9" r:id="rId9"/>
    <sheet name="штат" sheetId="10" r:id="rId10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HTML_CodePage" hidden="1">1251</definedName>
    <definedName name="HTML_Control" hidden="1">{"'Лист1'!$A$1:$W$63"}</definedName>
    <definedName name="HTML_Description" hidden="1">""</definedName>
    <definedName name="HTML_Email" hidden="1">""</definedName>
    <definedName name="HTML_Header" hidden="1">"Лист1"</definedName>
    <definedName name="HTML_LastUpdate" hidden="1">"18.10.01"</definedName>
    <definedName name="HTML_LineAfter" hidden="1">FALSE</definedName>
    <definedName name="HTML_LineBefore" hidden="1">FALSE</definedName>
    <definedName name="HTML_Name" hidden="1">"Федецкий И.И."</definedName>
    <definedName name="HTML_OBDlg2" hidden="1">TRUE</definedName>
    <definedName name="HTML_OBDlg4" hidden="1">TRUE</definedName>
    <definedName name="HTML_OS" hidden="1">0</definedName>
    <definedName name="HTML_PathFile" hidden="1">"D:\Мои документы\СТАТЬИ\MyHTML.htm"</definedName>
    <definedName name="HTML_Title" hidden="1">"Климатические зоны Томской области"</definedName>
    <definedName name="Nгвс">#REF!</definedName>
    <definedName name="Nот">#REF!</definedName>
    <definedName name="org" localSheetId="9">'[1]Анкета'!$A$5</definedName>
    <definedName name="org">'[1]Анкета'!$A$5</definedName>
    <definedName name="raion" localSheetId="9">'[1]Анкета'!$B$8</definedName>
    <definedName name="raion">'[1]Анкета'!$B$8</definedName>
    <definedName name="г" localSheetId="5">'[3]Анкета'!$B$8</definedName>
    <definedName name="г" localSheetId="6">'[3]Анкета'!$B$8</definedName>
    <definedName name="г" localSheetId="4">'[3]Анкета'!$B$8</definedName>
    <definedName name="г" localSheetId="2">'[3]Анкета'!$B$8</definedName>
    <definedName name="г" localSheetId="1">'[3]Анкета'!$B$8</definedName>
    <definedName name="г" localSheetId="9">'[5]Анкета'!$B$8</definedName>
    <definedName name="г" localSheetId="3">'[3]Анкета'!$B$8</definedName>
    <definedName name="г">'[2]Анкета'!$B$8</definedName>
    <definedName name="_xlnm.Print_Titles" localSheetId="5">'авар'!$9:$12</definedName>
    <definedName name="_xlnm.Print_Titles" localSheetId="6">'ОЦР'!$5:$8</definedName>
    <definedName name="_xlnm.Print_Titles" localSheetId="4">'паспотист'!$5:$8</definedName>
    <definedName name="_xlnm.Print_Titles" localSheetId="2">'сант'!$9:$12</definedName>
    <definedName name="_xlnm.Print_Titles" localSheetId="3">'элек'!$9:$12</definedName>
    <definedName name="_xlnm.Print_Area" localSheetId="7">'Прил 2.3 ОЦР '!$A$1:$G$33</definedName>
    <definedName name="_xlnm.Print_Area" localSheetId="0">'СМЕТА'!$A$1:$F$50</definedName>
    <definedName name="_xlnm.Print_Area" localSheetId="1">'тариф'!$A$1:$S$40</definedName>
    <definedName name="_xlnm.Print_Area" localSheetId="9">'штат'!$A$1:$O$36</definedName>
    <definedName name="_xlnm.Print_Area" localSheetId="3">'элек'!$A$1:$O$46</definedName>
  </definedNames>
  <calcPr fullCalcOnLoad="1"/>
</workbook>
</file>

<file path=xl/sharedStrings.xml><?xml version="1.0" encoding="utf-8"?>
<sst xmlns="http://schemas.openxmlformats.org/spreadsheetml/2006/main" count="706" uniqueCount="316">
  <si>
    <t xml:space="preserve"> </t>
  </si>
  <si>
    <t>NN</t>
  </si>
  <si>
    <t>наименование</t>
  </si>
  <si>
    <t>месячный</t>
  </si>
  <si>
    <t>месячный оклад с вред. усл. труда</t>
  </si>
  <si>
    <t>премия</t>
  </si>
  <si>
    <t>годовой</t>
  </si>
  <si>
    <t>пп</t>
  </si>
  <si>
    <t>должностей</t>
  </si>
  <si>
    <t>оклад</t>
  </si>
  <si>
    <t>ИТОГО</t>
  </si>
  <si>
    <t>северный</t>
  </si>
  <si>
    <t>районный</t>
  </si>
  <si>
    <t>фонд</t>
  </si>
  <si>
    <t>з/платы</t>
  </si>
  <si>
    <t>ИТОГО:</t>
  </si>
  <si>
    <t>ВСЕГО</t>
  </si>
  <si>
    <t xml:space="preserve">% за </t>
  </si>
  <si>
    <t>тариф. ст. с вредн. усл. труда</t>
  </si>
  <si>
    <t>доплаты</t>
  </si>
  <si>
    <t>усл.    труда</t>
  </si>
  <si>
    <t>к-нт</t>
  </si>
  <si>
    <t>№      п/п</t>
  </si>
  <si>
    <t>Наименование статей</t>
  </si>
  <si>
    <t>1.</t>
  </si>
  <si>
    <t>2.</t>
  </si>
  <si>
    <t>Вспомогательные материалы</t>
  </si>
  <si>
    <t>3.</t>
  </si>
  <si>
    <t>Затраты на оплату труда производственного персонала</t>
  </si>
  <si>
    <t>3.1.</t>
  </si>
  <si>
    <t>4.</t>
  </si>
  <si>
    <t>Единый социальный налог</t>
  </si>
  <si>
    <t>5.</t>
  </si>
  <si>
    <t>Платежи в фонд соц. страхования</t>
  </si>
  <si>
    <t>6.</t>
  </si>
  <si>
    <t>Ставка платежей в фонд соц.страхования</t>
  </si>
  <si>
    <t>7.</t>
  </si>
  <si>
    <t>Амортизационные отчисления</t>
  </si>
  <si>
    <t>8.</t>
  </si>
  <si>
    <t>9.</t>
  </si>
  <si>
    <t>9.1.</t>
  </si>
  <si>
    <t>9.2.</t>
  </si>
  <si>
    <t>10.</t>
  </si>
  <si>
    <t>Аварийно-восстановительные работы</t>
  </si>
  <si>
    <t>11.</t>
  </si>
  <si>
    <t>Прочие цеховые затраты всего, в т.ч.:</t>
  </si>
  <si>
    <t>11.1.</t>
  </si>
  <si>
    <t>11.7.</t>
  </si>
  <si>
    <t>11.8.</t>
  </si>
  <si>
    <t>расходы на льготный проезд</t>
  </si>
  <si>
    <t>11.9.</t>
  </si>
  <si>
    <t>арендная плата</t>
  </si>
  <si>
    <t>11.10.</t>
  </si>
  <si>
    <t>Итого затрат по цеховой себестоимости</t>
  </si>
  <si>
    <t>13.</t>
  </si>
  <si>
    <t>14.</t>
  </si>
  <si>
    <t>15.</t>
  </si>
  <si>
    <t>Прочие расходы всего, в т.ч.:</t>
  </si>
  <si>
    <t>Общехозяйственные расходы, из них</t>
  </si>
  <si>
    <t>заработная плата АУП</t>
  </si>
  <si>
    <t>работы и услуги непроизводственного характера</t>
  </si>
  <si>
    <t>Операционные и внереализационные расходы</t>
  </si>
  <si>
    <t>18.</t>
  </si>
  <si>
    <t>19.</t>
  </si>
  <si>
    <t>20.</t>
  </si>
  <si>
    <t>21.</t>
  </si>
  <si>
    <t>Выручка по отгрузке</t>
  </si>
  <si>
    <t>22.</t>
  </si>
  <si>
    <t>23.</t>
  </si>
  <si>
    <t>24.</t>
  </si>
  <si>
    <t>25.</t>
  </si>
  <si>
    <t xml:space="preserve">(подпись)   </t>
  </si>
  <si>
    <t>Факт  по данным организации за 2004 год</t>
  </si>
  <si>
    <t xml:space="preserve">Электроэнергия </t>
  </si>
  <si>
    <t xml:space="preserve">в т. ч. на ремонт </t>
  </si>
  <si>
    <t>Отчисления в ремонтный фонд в случае его формирования</t>
  </si>
  <si>
    <t>х</t>
  </si>
  <si>
    <t>расходы на спецпитание (на охрану труда)</t>
  </si>
  <si>
    <t>11.11.</t>
  </si>
  <si>
    <t>11.12.</t>
  </si>
  <si>
    <t>прочие затраты, не поименованные выше</t>
  </si>
  <si>
    <t>18.1.</t>
  </si>
  <si>
    <t>18.1.1.</t>
  </si>
  <si>
    <t>18.1.2.</t>
  </si>
  <si>
    <t>18.2.</t>
  </si>
  <si>
    <t>Финансовый результат от реализации</t>
  </si>
  <si>
    <t>Рентабельность, %</t>
  </si>
  <si>
    <t>26.</t>
  </si>
  <si>
    <t>Темп роста (к действующему тарифу предшеств.периода)</t>
  </si>
  <si>
    <t>Общая площадь жилья ( м.кв.)</t>
  </si>
  <si>
    <t>Стоимость 1 м.кв. содержания жилья по цеховой себестоимости, руб./ м2</t>
  </si>
  <si>
    <t xml:space="preserve">Полная себестоимость содержания жилья сторонних потребителей, рублей </t>
  </si>
  <si>
    <t>Себестоимость за 1 м.кв. содержания жилья</t>
  </si>
  <si>
    <t>Цена (тариф) на услуги по содержанию жилья</t>
  </si>
  <si>
    <t>Общая площадь жилья сторонних потребителей, .кв.</t>
  </si>
  <si>
    <t>Цена (тариф) на услуги по содержанию жилья, руб./м2</t>
  </si>
  <si>
    <t>общая смета</t>
  </si>
  <si>
    <t xml:space="preserve">Смета расходов и расчет экономически обоснованного тарифа на услуги по содержанию жилья ( мест общего пользования) </t>
  </si>
  <si>
    <t>Расходы на основные материалы</t>
  </si>
  <si>
    <t>обслуживание внутридомового оборудования</t>
  </si>
  <si>
    <t>обеспечение санитарного состояния жилых зданий и придомовых территорий</t>
  </si>
  <si>
    <t xml:space="preserve">транспортные расходы на текущее обслуживание </t>
  </si>
  <si>
    <t>№п/п</t>
  </si>
  <si>
    <t>Наименование улицы,</t>
  </si>
  <si>
    <t>Год пост-</t>
  </si>
  <si>
    <t>Материал</t>
  </si>
  <si>
    <t>Процент физического износа</t>
  </si>
  <si>
    <t>Кол-во</t>
  </si>
  <si>
    <t>Общая</t>
  </si>
  <si>
    <t>номер дома</t>
  </si>
  <si>
    <t>ройки</t>
  </si>
  <si>
    <t>стен, покрытий</t>
  </si>
  <si>
    <t>этажей</t>
  </si>
  <si>
    <t>подъез-</t>
  </si>
  <si>
    <t>квартир</t>
  </si>
  <si>
    <t>площадь</t>
  </si>
  <si>
    <t>и крыш</t>
  </si>
  <si>
    <t>дов</t>
  </si>
  <si>
    <t>жилого</t>
  </si>
  <si>
    <t>здания,м2</t>
  </si>
  <si>
    <t>деревян</t>
  </si>
  <si>
    <t>кирпичный</t>
  </si>
  <si>
    <t>блочные</t>
  </si>
  <si>
    <t>ВСЕГО зданий со сроком эксплуатации от 11до 30 лет</t>
  </si>
  <si>
    <t>расходы на диратизацию и дизинфекцию</t>
  </si>
  <si>
    <t>расходы на содержание паспортиста</t>
  </si>
  <si>
    <t>Содержание жилья</t>
  </si>
  <si>
    <t>ЕСН</t>
  </si>
  <si>
    <t>Статьи расходов</t>
  </si>
  <si>
    <t>Факт за 2007 год</t>
  </si>
  <si>
    <t>ЕСН, ФСС</t>
  </si>
  <si>
    <t>Содержание зданий (эл/эн, вода, стоки  и пр.)</t>
  </si>
  <si>
    <t>Аренда</t>
  </si>
  <si>
    <t>Налоги и сборы, в т.ч.:</t>
  </si>
  <si>
    <t>Материалы</t>
  </si>
  <si>
    <t>Услуги непроизводственного характера, в том числе:</t>
  </si>
  <si>
    <t>услуги связи</t>
  </si>
  <si>
    <t>консультационные услуги</t>
  </si>
  <si>
    <t>Ремонт</t>
  </si>
  <si>
    <t>Прочие</t>
  </si>
  <si>
    <t>Подразделение</t>
  </si>
  <si>
    <t>План по  тарифу на 2008 год</t>
  </si>
  <si>
    <t>Период регулирования (2009 год)</t>
  </si>
  <si>
    <t>Смета общецеховых расходов</t>
  </si>
  <si>
    <t xml:space="preserve">руб. </t>
  </si>
  <si>
    <t>Амортизация</t>
  </si>
  <si>
    <t>вневедомственная охрана</t>
  </si>
  <si>
    <t>Распределение общецеховых расходов по видам деятельности</t>
  </si>
  <si>
    <r>
      <t xml:space="preserve">База для распределения согласно учетной политике </t>
    </r>
    <r>
      <rPr>
        <b/>
        <u val="single"/>
        <sz val="11"/>
        <rFont val="Times New Roman Cyr"/>
        <family val="0"/>
      </rPr>
      <t>выручка от реализации</t>
    </r>
  </si>
  <si>
    <t>База  ( с НДС)</t>
  </si>
  <si>
    <t>Сумма ОЦР</t>
  </si>
  <si>
    <t>База ( без НДС)</t>
  </si>
  <si>
    <t>Кол-во лампочек</t>
  </si>
  <si>
    <t xml:space="preserve"> Годовые затраты на проведение работ</t>
  </si>
  <si>
    <t xml:space="preserve">оплата труда </t>
  </si>
  <si>
    <t>ед.</t>
  </si>
  <si>
    <t>Общая площадь дома</t>
  </si>
  <si>
    <t>площадь мест общего пользования</t>
  </si>
  <si>
    <t>Техническое обслуживание систем отопления, водоснабжения, водоотведения включает работы по контролю технического состояния, поддержанию работоспособности и исправности оборудования, наладке и регулировке, подготовке к сезонной эксплуатации.</t>
  </si>
  <si>
    <t>Техническое обслуживание систем электроснабжения включает работы по контролю технического состояния, поддержанию работоспособности и исправности оборудования, наладке и регулировке, подготовке к сезонной эксплуатации.</t>
  </si>
  <si>
    <t>Аварийное обслуживание</t>
  </si>
  <si>
    <t>Аварийная бригада  МУП " Жилкомсервис"</t>
  </si>
  <si>
    <t>Количество часов аварийных работ в год</t>
  </si>
  <si>
    <t>Цена за 1 час работы ав. Машины</t>
  </si>
  <si>
    <t>Цена за 1 час работы ав. Бригады</t>
  </si>
  <si>
    <t>руб/час</t>
  </si>
  <si>
    <t>час</t>
  </si>
  <si>
    <t>руб.</t>
  </si>
  <si>
    <t>Текущий ремонт жилья</t>
  </si>
  <si>
    <t>Общецеховые расходы ТСЖ</t>
  </si>
  <si>
    <t>Бухгалтер</t>
  </si>
  <si>
    <t xml:space="preserve">информационные услуги </t>
  </si>
  <si>
    <t xml:space="preserve"> услуги банка</t>
  </si>
  <si>
    <t>Канц товары и пр. материалы</t>
  </si>
  <si>
    <t xml:space="preserve"> Годовые затраты </t>
  </si>
  <si>
    <t>ФОРМИРОВАНИЕ ТАРИФА</t>
  </si>
  <si>
    <t>ВСЕГО тариф за 1 м2 в месяц</t>
  </si>
  <si>
    <t>Строительный объем</t>
  </si>
  <si>
    <t>Н</t>
  </si>
  <si>
    <t>S</t>
  </si>
  <si>
    <t>Площадь жилых помещений</t>
  </si>
  <si>
    <t>площадь мест общего пользования жильцов</t>
  </si>
  <si>
    <t>Электрик ( 0,5 - 5000 р.)</t>
  </si>
  <si>
    <t>Содержание аппарата управления ТСЖ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</si>
  <si>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</si>
  <si>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Содержание паспортиста</t>
  </si>
  <si>
    <t>Пушкина,46</t>
  </si>
  <si>
    <t>Пушкина,56</t>
  </si>
  <si>
    <t>Лебедева,2 пер.</t>
  </si>
  <si>
    <t>Лебедева,4 пер.</t>
  </si>
  <si>
    <t>Советская,20</t>
  </si>
  <si>
    <t>пер.Лесной,36</t>
  </si>
  <si>
    <t>пер.Лесной,38</t>
  </si>
  <si>
    <t>Таежная,28</t>
  </si>
  <si>
    <t>Паритизанская,28</t>
  </si>
  <si>
    <t>Паритизанская,91</t>
  </si>
  <si>
    <t>Ленина 14</t>
  </si>
  <si>
    <t>Прочие ремонты</t>
  </si>
  <si>
    <t>Директор</t>
  </si>
  <si>
    <t>Расчет затрат на оказание коммунальных услуг</t>
  </si>
  <si>
    <t>1.  Расчет отпуска тепловой энергии ( Гкал )</t>
  </si>
  <si>
    <t>Объект</t>
  </si>
  <si>
    <r>
      <t xml:space="preserve">Наружный строительный объем здания,  </t>
    </r>
    <r>
      <rPr>
        <b/>
        <sz val="12"/>
        <rFont val="Times New Roman"/>
        <family val="1"/>
      </rPr>
      <t>Vн, м3</t>
    </r>
  </si>
  <si>
    <r>
      <t xml:space="preserve">Удельные тепловые характеристики,        ккал/м3*ч*0С, </t>
    </r>
    <r>
      <rPr>
        <b/>
        <sz val="10"/>
        <rFont val="Times New Roman"/>
        <family val="1"/>
      </rPr>
      <t>q</t>
    </r>
  </si>
  <si>
    <r>
      <t xml:space="preserve">Поправочный коэф., учитывающий отличие расчетной температуры наружного воздуха от ( - 300С),   </t>
    </r>
    <r>
      <rPr>
        <b/>
        <sz val="10"/>
        <rFont val="Symbol"/>
        <family val="1"/>
      </rPr>
      <t>a</t>
    </r>
  </si>
  <si>
    <r>
      <t xml:space="preserve">Темпер. внутреннего воздуха,  </t>
    </r>
    <r>
      <rPr>
        <b/>
        <sz val="14"/>
        <rFont val="Times New Roman"/>
        <family val="1"/>
      </rPr>
      <t>t</t>
    </r>
    <r>
      <rPr>
        <b/>
        <vertAlign val="subscript"/>
        <sz val="14"/>
        <rFont val="Times New Roman"/>
        <family val="1"/>
      </rPr>
      <t xml:space="preserve">вн, </t>
    </r>
    <r>
      <rPr>
        <b/>
        <vertAlign val="superscript"/>
        <sz val="14"/>
        <rFont val="Times New Roman"/>
        <family val="1"/>
      </rPr>
      <t>0</t>
    </r>
    <r>
      <rPr>
        <b/>
        <sz val="14"/>
        <rFont val="Times New Roman"/>
        <family val="1"/>
      </rPr>
      <t>С</t>
    </r>
  </si>
  <si>
    <r>
      <t xml:space="preserve">Средняя температура наружного воздуха в отопительном периоде, </t>
    </r>
    <r>
      <rPr>
        <b/>
        <sz val="10"/>
        <rFont val="Times New Roman"/>
        <family val="1"/>
      </rPr>
      <t>tср.о</t>
    </r>
  </si>
  <si>
    <r>
      <t xml:space="preserve">Длительность отопительного периода, </t>
    </r>
    <r>
      <rPr>
        <b/>
        <sz val="12"/>
        <rFont val="Times New Roman"/>
        <family val="1"/>
      </rPr>
      <t>n</t>
    </r>
  </si>
  <si>
    <t xml:space="preserve">  Коэф.инфильтр. (1+Кир)</t>
  </si>
  <si>
    <r>
      <t xml:space="preserve">Коэф., учит. потери через необогрев. пол 1-го этажа (для неотапл. подвалов), </t>
    </r>
    <r>
      <rPr>
        <b/>
        <sz val="12"/>
        <rFont val="Arial"/>
        <family val="2"/>
      </rPr>
      <t>Кп</t>
    </r>
  </si>
  <si>
    <t>Годовой расход тепла, Гкал/год</t>
  </si>
  <si>
    <t>Среднесуточный расход тепла, Гкал/год</t>
  </si>
  <si>
    <t>Срок использования помещения, сут.</t>
  </si>
  <si>
    <t>Расход тепла на период использования помещения, Гкал/год</t>
  </si>
  <si>
    <t>Тариф на тепловую энергию, руб,/Гкал ( без НДС)</t>
  </si>
  <si>
    <t>Затраты на теплоснабжения на период использования помещения, руб.</t>
  </si>
  <si>
    <t>Административное помещение</t>
  </si>
  <si>
    <t>2. Водопотребление</t>
  </si>
  <si>
    <t>Водопотребители</t>
  </si>
  <si>
    <t>Измеритель (согласно СНиП 2.04.01-85)</t>
  </si>
  <si>
    <t>Нормы расхода воды потребителями в сутки, л (СНиП,  постановление Администрации)</t>
  </si>
  <si>
    <t>Число потребителей (измерителей)</t>
  </si>
  <si>
    <t xml:space="preserve">Период потребления воды, сутки </t>
  </si>
  <si>
    <t>Расчетный  объем потребления воды на период использования помещения,  куб. м.</t>
  </si>
  <si>
    <t>Тариф на водоснабжение, руб,/м3 (без НДС)</t>
  </si>
  <si>
    <t>Затраты на водоснабжение на период использования помещения, руб.</t>
  </si>
  <si>
    <t>1 работа-ющий</t>
  </si>
  <si>
    <t>3. Водоотведение</t>
  </si>
  <si>
    <t>Нормы отводимой сточной жидкости  потребителями в сутки, л (СНиП,  постановление Администрации)</t>
  </si>
  <si>
    <t xml:space="preserve">Период , сутки </t>
  </si>
  <si>
    <t>Расчетный объем отводимой сточной жидкости на период использования помещения,  куб. м.</t>
  </si>
  <si>
    <t>Тариф на водоотведение, руб,/м3 (без НДС)</t>
  </si>
  <si>
    <t>Затраты на водоотведение на период использования помещения, руб.</t>
  </si>
  <si>
    <t>4. Захоронение отходов</t>
  </si>
  <si>
    <t>Измеритель (согласно СНиП)</t>
  </si>
  <si>
    <t>Нормы образования ТБО потребителями в месяц, м3 (СНиП,  постановление Администрации)</t>
  </si>
  <si>
    <t>Расчетный объем образования ТБО на период использования помещения,  куб. м.</t>
  </si>
  <si>
    <t>Тариф на захоронение отходов, руб,/м3 (без НДС)</t>
  </si>
  <si>
    <t>Затраты на захоронение отходов на период использования помещения, руб.</t>
  </si>
  <si>
    <t>5. Сбор и вывоз мусора</t>
  </si>
  <si>
    <t>Тариф на сбор и вывоз мусора, руб,/м3 (без НДС)</t>
  </si>
  <si>
    <t>Затраты на сбор и вывоз мусора на период использования помещения, руб.</t>
  </si>
  <si>
    <t>6. Энергоснабжение</t>
  </si>
  <si>
    <t>Наименование приборов</t>
  </si>
  <si>
    <t>Мощность, Вт</t>
  </si>
  <si>
    <t>Продолжитель-ность работы в сутки , час.</t>
  </si>
  <si>
    <t>Расход электроэнергии  на период использования помещения,  куб. м.</t>
  </si>
  <si>
    <t>Тариф на эл.энергию, руб,/кВт.ч (без НДС)</t>
  </si>
  <si>
    <t>Затраты на электроэнергию на период использования помещения, руб.</t>
  </si>
  <si>
    <t>Освещение</t>
  </si>
  <si>
    <t>ВСЕГО затраты на оказание коммунальных услуг</t>
  </si>
  <si>
    <t>Управление</t>
  </si>
  <si>
    <t>Район   Александровский                                                     Организация      ООО "Жилстрой"</t>
  </si>
  <si>
    <t>Директор___________________________________Б.Ф. Байрамбеков</t>
  </si>
  <si>
    <t>Факт за  2009 года</t>
  </si>
  <si>
    <t>Период регулирования     (2010 г.)</t>
  </si>
  <si>
    <t>Взлетный ,2</t>
  </si>
  <si>
    <t>Взлетный ,5</t>
  </si>
  <si>
    <t>Гоголя,18</t>
  </si>
  <si>
    <t>Гоголя,27</t>
  </si>
  <si>
    <t>Заводская,14</t>
  </si>
  <si>
    <t>Лебедева,27</t>
  </si>
  <si>
    <t>пер.Лесной,40</t>
  </si>
  <si>
    <t>пер.Лесной,42</t>
  </si>
  <si>
    <t>Нефтяников,2</t>
  </si>
  <si>
    <t>Нефтяников,5</t>
  </si>
  <si>
    <t>Нефтяников,9</t>
  </si>
  <si>
    <t>Пролетарская,8</t>
  </si>
  <si>
    <t>Таежная,17</t>
  </si>
  <si>
    <t>Таежная,19 а</t>
  </si>
  <si>
    <t>Толпарова,30а</t>
  </si>
  <si>
    <t>Химиков,3</t>
  </si>
  <si>
    <t>Химиков,7</t>
  </si>
  <si>
    <t>Юбилейный,1</t>
  </si>
  <si>
    <t>Юргина, 19</t>
  </si>
  <si>
    <t>Штат.</t>
  </si>
  <si>
    <t>Специалист по работе с населением</t>
  </si>
  <si>
    <t>Слесарь- сантехник</t>
  </si>
  <si>
    <t>Электромантер</t>
  </si>
  <si>
    <t>Водитель автомобиля Зил-130</t>
  </si>
  <si>
    <t>Сметчик</t>
  </si>
  <si>
    <t>Унифицированная форма № Т-3</t>
  </si>
  <si>
    <t>Утверждена Постановлением Госкомстата России</t>
  </si>
  <si>
    <t>от 05.01.2004 № 1</t>
  </si>
  <si>
    <t>Код</t>
  </si>
  <si>
    <t>Форма по ОКУД</t>
  </si>
  <si>
    <t>МУП "Жилкомсервис" Александровского сельского поселения,    Участок по утилизации(захоронению) отходов</t>
  </si>
  <si>
    <t>по ОКОП</t>
  </si>
  <si>
    <t>(наименование организации, структурного подроазделения)</t>
  </si>
  <si>
    <t>Номер документа</t>
  </si>
  <si>
    <t>ШТАТНОЕ РАСПИСАНИЕ</t>
  </si>
  <si>
    <t>17.07.2012</t>
  </si>
  <si>
    <t>УТВЕРЖДЕНО</t>
  </si>
  <si>
    <t>Приказом организации от "___" __________201__ г.   № ________</t>
  </si>
  <si>
    <t>Штат в количестве</t>
  </si>
  <si>
    <t>единиц</t>
  </si>
  <si>
    <r>
      <t xml:space="preserve">   с    " 1 "  </t>
    </r>
    <r>
      <rPr>
        <b/>
        <u val="single"/>
        <sz val="10"/>
        <color indexed="8"/>
        <rFont val="Times New Roman"/>
        <family val="1"/>
      </rPr>
      <t xml:space="preserve"> января   </t>
    </r>
    <r>
      <rPr>
        <b/>
        <sz val="10"/>
        <color indexed="8"/>
        <rFont val="Times New Roman"/>
        <family val="1"/>
      </rPr>
      <t>2012 года</t>
    </r>
  </si>
  <si>
    <t xml:space="preserve">Директор ООО "Жилстрой" </t>
  </si>
  <si>
    <t>Б.Ф. Байрамбеков</t>
  </si>
  <si>
    <t xml:space="preserve">Слесарь сантехник- 1 ставка </t>
  </si>
  <si>
    <t>Годовая сумма затрат на обслуж.энергоснабжения, руб.( стр.13 гр.13/стр.13 гр.11* гр.11)</t>
  </si>
  <si>
    <t>Стоимость  обслуживания 1 м2 в год</t>
  </si>
  <si>
    <t>Стоимость  обслуживания 1 м2 в месяц</t>
  </si>
  <si>
    <t>Годовая сумма затрат на обслуживание , руб. ( стр.13 гр.12/стр.13 гр.9* гр.9)</t>
  </si>
  <si>
    <t>Стоимость  обслуживания за 1 м2 в месяц</t>
  </si>
  <si>
    <t>Годовая сумма затрат на паспортиста, руб. ( стр.13 гр.12/стр.13 гр.9* гр.9)</t>
  </si>
  <si>
    <t>Стоимость  а за 1 м2 в год</t>
  </si>
  <si>
    <t>Стоимость  за 1 м2 в месяц</t>
  </si>
  <si>
    <t>Период регулирования                      (2012 год)</t>
  </si>
  <si>
    <t>Факт за 2011 год</t>
  </si>
  <si>
    <t>План по утвержденному тарифу на 2011 год</t>
  </si>
  <si>
    <t xml:space="preserve">з/платы ( к получению) </t>
  </si>
  <si>
    <t>Период регулирования     (2012 г.) по данным организации</t>
  </si>
  <si>
    <t>Рентабельность 5%</t>
  </si>
  <si>
    <t>Затраты на содержание транспорта (ГСМ, зап. части)</t>
  </si>
  <si>
    <t>Заработная плата управленчиского персонала и водителя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</si>
</sst>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  <numFmt numFmtId="167" formatCode="0.000000"/>
    <numFmt numFmtId="168" formatCode="0.0000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"/>
    <numFmt numFmtId="175" formatCode="000000"/>
    <numFmt numFmtId="176" formatCode="#,##0.000_ ;\-#,##0.000\ "/>
    <numFmt numFmtId="177" formatCode="0.0%"/>
    <numFmt numFmtId="178" formatCode="0.0E+00"/>
    <numFmt numFmtId="179" formatCode="0E+00"/>
    <numFmt numFmtId="180" formatCode="0.00000000"/>
    <numFmt numFmtId="181" formatCode="0.0000000"/>
    <numFmt numFmtId="182" formatCode="_-* #,##0.000_р_._-;\-* #,##0.000_р_._-;_-* &quot;-&quot;???_р_._-;_-@_-"/>
    <numFmt numFmtId="183" formatCode="#,##0.00_ ;\-#,##0.00\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.0_ ;\-#,##0.0\ "/>
    <numFmt numFmtId="193" formatCode="#,##0_ ;\-#,##0\ "/>
    <numFmt numFmtId="194" formatCode="#,##0.00;[Red]#,##0.00"/>
    <numFmt numFmtId="195" formatCode="0.00;[Red]0.00"/>
    <numFmt numFmtId="196" formatCode="#,##0_р_."/>
  </numFmts>
  <fonts count="8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2"/>
      <name val="Times New Roman Cyr"/>
      <family val="0"/>
    </font>
    <font>
      <b/>
      <sz val="12"/>
      <name val="Times New Roman Cyr"/>
      <family val="1"/>
    </font>
    <font>
      <b/>
      <sz val="14"/>
      <name val="Times New Roman Cyr"/>
      <family val="1"/>
    </font>
    <font>
      <sz val="11"/>
      <name val="Times New Roman Cyr"/>
      <family val="1"/>
    </font>
    <font>
      <sz val="13"/>
      <name val="Times New Roman Cyr"/>
      <family val="1"/>
    </font>
    <font>
      <sz val="13"/>
      <color indexed="62"/>
      <name val="Times New Roman Cyr"/>
      <family val="1"/>
    </font>
    <font>
      <sz val="13"/>
      <color indexed="63"/>
      <name val="Times New Roman Cyr"/>
      <family val="1"/>
    </font>
    <font>
      <sz val="12"/>
      <color indexed="62"/>
      <name val="Times New Roman Cyr"/>
      <family val="1"/>
    </font>
    <font>
      <sz val="12"/>
      <color indexed="62"/>
      <name val="Arial CYR"/>
      <family val="0"/>
    </font>
    <font>
      <b/>
      <sz val="13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4"/>
      <name val="Times New Roman Cyr"/>
      <family val="1"/>
    </font>
    <font>
      <sz val="10"/>
      <name val="Times New Roman Cyr"/>
      <family val="1"/>
    </font>
    <font>
      <sz val="12"/>
      <name val="Times New Roman"/>
      <family val="1"/>
    </font>
    <font>
      <b/>
      <i/>
      <sz val="12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0"/>
    </font>
    <font>
      <b/>
      <u val="single"/>
      <sz val="11"/>
      <name val="Times New Roman Cyr"/>
      <family val="0"/>
    </font>
    <font>
      <b/>
      <sz val="10"/>
      <color indexed="62"/>
      <name val="Times New Roman"/>
      <family val="1"/>
    </font>
    <font>
      <b/>
      <sz val="10"/>
      <name val="Arial Cyr"/>
      <family val="0"/>
    </font>
    <font>
      <b/>
      <i/>
      <sz val="10"/>
      <name val="Times New Roman"/>
      <family val="1"/>
    </font>
    <font>
      <sz val="11"/>
      <name val="Calibri"/>
      <family val="2"/>
    </font>
    <font>
      <b/>
      <sz val="10"/>
      <name val="Symbol"/>
      <family val="1"/>
    </font>
    <font>
      <b/>
      <sz val="14"/>
      <name val="Times New Roman"/>
      <family val="1"/>
    </font>
    <font>
      <b/>
      <vertAlign val="subscript"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 Cyr"/>
      <family val="2"/>
    </font>
    <font>
      <b/>
      <sz val="11"/>
      <color indexed="8"/>
      <name val="Times New Roman"/>
      <family val="1"/>
    </font>
    <font>
      <b/>
      <sz val="11"/>
      <color indexed="8"/>
      <name val="Arial Cyr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indexed="30"/>
      <name val="Times New Roman"/>
      <family val="1"/>
    </font>
    <font>
      <b/>
      <sz val="10"/>
      <color indexed="30"/>
      <name val="Times New Roman"/>
      <family val="1"/>
    </font>
    <font>
      <b/>
      <sz val="12"/>
      <color indexed="10"/>
      <name val="Times New Roman Cyr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0"/>
      <color rgb="FF0070C0"/>
      <name val="Times New Roman"/>
      <family val="1"/>
    </font>
    <font>
      <b/>
      <sz val="10"/>
      <color rgb="FF0070C0"/>
      <name val="Times New Roman"/>
      <family val="1"/>
    </font>
    <font>
      <b/>
      <sz val="12"/>
      <color rgb="FFFF0000"/>
      <name val="Times New Roman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5" fillId="0" borderId="0">
      <alignment/>
      <protection/>
    </xf>
    <xf numFmtId="0" fontId="2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391">
    <xf numFmtId="0" fontId="0" fillId="0" borderId="0" xfId="0" applyAlignment="1">
      <alignment/>
    </xf>
    <xf numFmtId="0" fontId="7" fillId="0" borderId="0" xfId="57">
      <alignment/>
      <protection/>
    </xf>
    <xf numFmtId="0" fontId="7" fillId="0" borderId="0" xfId="57" applyFont="1">
      <alignment/>
      <protection/>
    </xf>
    <xf numFmtId="0" fontId="16" fillId="0" borderId="0" xfId="57" applyFont="1" applyAlignment="1">
      <alignment vertical="center"/>
      <protection/>
    </xf>
    <xf numFmtId="0" fontId="16" fillId="0" borderId="0" xfId="57" applyFont="1">
      <alignment/>
      <protection/>
    </xf>
    <xf numFmtId="0" fontId="14" fillId="0" borderId="10" xfId="56" applyFont="1" applyFill="1" applyBorder="1" applyAlignment="1">
      <alignment horizontal="center"/>
      <protection/>
    </xf>
    <xf numFmtId="0" fontId="12" fillId="0" borderId="10" xfId="56" applyFont="1" applyFill="1" applyBorder="1" applyAlignment="1">
      <alignment horizontal="center"/>
      <protection/>
    </xf>
    <xf numFmtId="4" fontId="7" fillId="0" borderId="0" xfId="57" applyNumberFormat="1" applyAlignment="1">
      <alignment vertical="center"/>
      <protection/>
    </xf>
    <xf numFmtId="49" fontId="12" fillId="0" borderId="10" xfId="56" applyNumberFormat="1" applyFont="1" applyFill="1" applyBorder="1" applyAlignment="1">
      <alignment horizontal="center"/>
      <protection/>
    </xf>
    <xf numFmtId="0" fontId="12" fillId="0" borderId="10" xfId="56" applyFont="1" applyFill="1" applyBorder="1" applyAlignment="1">
      <alignment horizontal="center" vertical="center"/>
      <protection/>
    </xf>
    <xf numFmtId="0" fontId="7" fillId="0" borderId="0" xfId="57" applyAlignment="1">
      <alignment vertical="center"/>
      <protection/>
    </xf>
    <xf numFmtId="0" fontId="12" fillId="0" borderId="11" xfId="56" applyFont="1" applyFill="1" applyBorder="1" applyAlignment="1">
      <alignment horizontal="center"/>
      <protection/>
    </xf>
    <xf numFmtId="0" fontId="12" fillId="0" borderId="12" xfId="56" applyFont="1" applyFill="1" applyBorder="1" applyAlignment="1">
      <alignment horizontal="center"/>
      <protection/>
    </xf>
    <xf numFmtId="4" fontId="8" fillId="0" borderId="13" xfId="56" applyNumberFormat="1" applyFont="1" applyFill="1" applyBorder="1" applyAlignment="1">
      <alignment horizontal="center"/>
      <protection/>
    </xf>
    <xf numFmtId="3" fontId="8" fillId="0" borderId="14" xfId="56" applyNumberFormat="1" applyFont="1" applyFill="1" applyBorder="1" applyAlignment="1">
      <alignment horizontal="center"/>
      <protection/>
    </xf>
    <xf numFmtId="166" fontId="8" fillId="0" borderId="14" xfId="56" applyNumberFormat="1" applyFont="1" applyFill="1" applyBorder="1" applyAlignment="1">
      <alignment horizontal="center"/>
      <protection/>
    </xf>
    <xf numFmtId="3" fontId="15" fillId="0" borderId="14" xfId="56" applyNumberFormat="1" applyFont="1" applyFill="1" applyBorder="1" applyAlignment="1">
      <alignment horizontal="center" vertical="center"/>
      <protection/>
    </xf>
    <xf numFmtId="3" fontId="15" fillId="0" borderId="14" xfId="56" applyNumberFormat="1" applyFont="1" applyFill="1" applyBorder="1" applyAlignment="1">
      <alignment horizontal="center"/>
      <protection/>
    </xf>
    <xf numFmtId="3" fontId="9" fillId="0" borderId="14" xfId="56" applyNumberFormat="1" applyFont="1" applyFill="1" applyBorder="1" applyAlignment="1">
      <alignment horizontal="center" vertical="center" wrapText="1"/>
      <protection/>
    </xf>
    <xf numFmtId="166" fontId="9" fillId="0" borderId="14" xfId="56" applyNumberFormat="1" applyFont="1" applyFill="1" applyBorder="1" applyAlignment="1">
      <alignment horizontal="center" vertical="center" wrapText="1"/>
      <protection/>
    </xf>
    <xf numFmtId="4" fontId="9" fillId="0" borderId="14" xfId="56" applyNumberFormat="1" applyFont="1" applyFill="1" applyBorder="1" applyAlignment="1">
      <alignment horizontal="center" vertical="center" wrapText="1"/>
      <protection/>
    </xf>
    <xf numFmtId="4" fontId="9" fillId="0" borderId="15" xfId="56" applyNumberFormat="1" applyFont="1" applyFill="1" applyBorder="1" applyAlignment="1">
      <alignment horizontal="center" vertical="center" wrapText="1"/>
      <protection/>
    </xf>
    <xf numFmtId="3" fontId="8" fillId="0" borderId="16" xfId="56" applyNumberFormat="1" applyFont="1" applyFill="1" applyBorder="1" applyAlignment="1">
      <alignment horizontal="center"/>
      <protection/>
    </xf>
    <xf numFmtId="3" fontId="8" fillId="0" borderId="14" xfId="56" applyNumberFormat="1" applyFont="1" applyFill="1" applyBorder="1" applyAlignment="1">
      <alignment horizontal="center" vertical="center"/>
      <protection/>
    </xf>
    <xf numFmtId="4" fontId="9" fillId="0" borderId="14" xfId="56" applyNumberFormat="1" applyFont="1" applyFill="1" applyBorder="1" applyAlignment="1">
      <alignment horizontal="center"/>
      <protection/>
    </xf>
    <xf numFmtId="3" fontId="8" fillId="0" borderId="15" xfId="56" applyNumberFormat="1" applyFont="1" applyFill="1" applyBorder="1" applyAlignment="1">
      <alignment horizontal="center"/>
      <protection/>
    </xf>
    <xf numFmtId="0" fontId="24" fillId="0" borderId="0" xfId="58" applyFont="1" applyFill="1">
      <alignment/>
      <protection/>
    </xf>
    <xf numFmtId="0" fontId="5" fillId="0" borderId="0" xfId="58" applyFont="1" applyFill="1">
      <alignment/>
      <protection/>
    </xf>
    <xf numFmtId="0" fontId="5" fillId="0" borderId="0" xfId="58" applyFont="1">
      <alignment/>
      <protection/>
    </xf>
    <xf numFmtId="0" fontId="5" fillId="0" borderId="17" xfId="58" applyFont="1" applyFill="1" applyBorder="1">
      <alignment/>
      <protection/>
    </xf>
    <xf numFmtId="0" fontId="5" fillId="0" borderId="18" xfId="58" applyFont="1" applyFill="1" applyBorder="1">
      <alignment/>
      <protection/>
    </xf>
    <xf numFmtId="0" fontId="5" fillId="0" borderId="0" xfId="58" applyFont="1" applyFill="1" applyBorder="1">
      <alignment/>
      <protection/>
    </xf>
    <xf numFmtId="1" fontId="5" fillId="0" borderId="14" xfId="58" applyNumberFormat="1" applyFont="1" applyFill="1" applyBorder="1">
      <alignment/>
      <protection/>
    </xf>
    <xf numFmtId="0" fontId="5" fillId="33" borderId="0" xfId="58" applyFont="1" applyFill="1">
      <alignment/>
      <protection/>
    </xf>
    <xf numFmtId="0" fontId="5" fillId="0" borderId="14" xfId="58" applyFont="1" applyFill="1" applyBorder="1">
      <alignment/>
      <protection/>
    </xf>
    <xf numFmtId="0" fontId="6" fillId="0" borderId="12" xfId="58" applyFont="1" applyFill="1" applyBorder="1">
      <alignment/>
      <protection/>
    </xf>
    <xf numFmtId="0" fontId="6" fillId="0" borderId="16" xfId="58" applyFont="1" applyFill="1" applyBorder="1">
      <alignment/>
      <protection/>
    </xf>
    <xf numFmtId="0" fontId="6" fillId="0" borderId="14" xfId="58" applyFont="1" applyFill="1" applyBorder="1">
      <alignment/>
      <protection/>
    </xf>
    <xf numFmtId="0" fontId="5" fillId="34" borderId="0" xfId="58" applyFont="1" applyFill="1">
      <alignment/>
      <protection/>
    </xf>
    <xf numFmtId="2" fontId="5" fillId="0" borderId="14" xfId="58" applyNumberFormat="1" applyFont="1" applyFill="1" applyBorder="1">
      <alignment/>
      <protection/>
    </xf>
    <xf numFmtId="0" fontId="23" fillId="0" borderId="0" xfId="58" applyFont="1" applyFill="1" applyBorder="1">
      <alignment/>
      <protection/>
    </xf>
    <xf numFmtId="0" fontId="5" fillId="0" borderId="0" xfId="58" applyFont="1" applyFill="1" applyBorder="1">
      <alignment/>
      <protection/>
    </xf>
    <xf numFmtId="0" fontId="0" fillId="0" borderId="0" xfId="58" applyFill="1">
      <alignment/>
      <protection/>
    </xf>
    <xf numFmtId="0" fontId="0" fillId="0" borderId="0" xfId="58" applyFont="1" applyFill="1">
      <alignment/>
      <protection/>
    </xf>
    <xf numFmtId="0" fontId="0" fillId="0" borderId="0" xfId="58">
      <alignment/>
      <protection/>
    </xf>
    <xf numFmtId="3" fontId="8" fillId="0" borderId="19" xfId="56" applyNumberFormat="1" applyFont="1" applyFill="1" applyBorder="1" applyAlignment="1">
      <alignment horizontal="center"/>
      <protection/>
    </xf>
    <xf numFmtId="166" fontId="8" fillId="0" borderId="19" xfId="56" applyNumberFormat="1" applyFont="1" applyFill="1" applyBorder="1" applyAlignment="1">
      <alignment horizontal="center"/>
      <protection/>
    </xf>
    <xf numFmtId="3" fontId="15" fillId="0" borderId="19" xfId="56" applyNumberFormat="1" applyFont="1" applyFill="1" applyBorder="1" applyAlignment="1">
      <alignment horizontal="center" vertical="center"/>
      <protection/>
    </xf>
    <xf numFmtId="166" fontId="9" fillId="0" borderId="19" xfId="56" applyNumberFormat="1" applyFont="1" applyFill="1" applyBorder="1" applyAlignment="1">
      <alignment horizontal="center" vertical="center" wrapText="1"/>
      <protection/>
    </xf>
    <xf numFmtId="4" fontId="9" fillId="0" borderId="19" xfId="56" applyNumberFormat="1" applyFont="1" applyFill="1" applyBorder="1" applyAlignment="1">
      <alignment horizontal="center" vertical="center" wrapText="1"/>
      <protection/>
    </xf>
    <xf numFmtId="3" fontId="9" fillId="0" borderId="19" xfId="56" applyNumberFormat="1" applyFont="1" applyFill="1" applyBorder="1" applyAlignment="1">
      <alignment horizontal="center" vertical="center" wrapText="1"/>
      <protection/>
    </xf>
    <xf numFmtId="4" fontId="9" fillId="0" borderId="13" xfId="56" applyNumberFormat="1" applyFont="1" applyFill="1" applyBorder="1" applyAlignment="1">
      <alignment horizontal="center" vertical="center" wrapText="1"/>
      <protection/>
    </xf>
    <xf numFmtId="1" fontId="7" fillId="0" borderId="0" xfId="57" applyNumberFormat="1">
      <alignment/>
      <protection/>
    </xf>
    <xf numFmtId="0" fontId="26" fillId="0" borderId="0" xfId="54">
      <alignment/>
      <protection/>
    </xf>
    <xf numFmtId="0" fontId="9" fillId="0" borderId="0" xfId="54" applyFont="1">
      <alignment/>
      <protection/>
    </xf>
    <xf numFmtId="0" fontId="28" fillId="0" borderId="0" xfId="54" applyFont="1" applyBorder="1" applyAlignment="1">
      <alignment horizontal="center"/>
      <protection/>
    </xf>
    <xf numFmtId="0" fontId="28" fillId="0" borderId="0" xfId="54" applyFont="1" applyAlignment="1">
      <alignment horizontal="center" vertical="center" wrapText="1"/>
      <protection/>
    </xf>
    <xf numFmtId="0" fontId="26" fillId="0" borderId="20" xfId="54" applyBorder="1" applyAlignment="1">
      <alignment horizontal="center" vertical="center" wrapText="1"/>
      <protection/>
    </xf>
    <xf numFmtId="0" fontId="11" fillId="0" borderId="21" xfId="54" applyFont="1" applyBorder="1" applyAlignment="1">
      <alignment vertical="center" wrapText="1"/>
      <protection/>
    </xf>
    <xf numFmtId="0" fontId="11" fillId="0" borderId="10" xfId="54" applyFont="1" applyBorder="1" applyAlignment="1">
      <alignment vertical="center" wrapText="1"/>
      <protection/>
    </xf>
    <xf numFmtId="0" fontId="11" fillId="0" borderId="21" xfId="54" applyFont="1" applyBorder="1" applyAlignment="1">
      <alignment horizontal="left" indent="2"/>
      <protection/>
    </xf>
    <xf numFmtId="0" fontId="11" fillId="0" borderId="10" xfId="54" applyFont="1" applyBorder="1" applyAlignment="1">
      <alignment horizontal="left" indent="2"/>
      <protection/>
    </xf>
    <xf numFmtId="0" fontId="11" fillId="0" borderId="22" xfId="54" applyFont="1" applyBorder="1" applyAlignment="1">
      <alignment vertical="center" wrapText="1"/>
      <protection/>
    </xf>
    <xf numFmtId="0" fontId="29" fillId="0" borderId="20" xfId="54" applyFont="1" applyBorder="1" applyAlignment="1">
      <alignment horizontal="center" vertical="center" wrapText="1"/>
      <protection/>
    </xf>
    <xf numFmtId="0" fontId="26" fillId="0" borderId="0" xfId="54" applyAlignment="1">
      <alignment horizontal="center"/>
      <protection/>
    </xf>
    <xf numFmtId="0" fontId="11" fillId="0" borderId="10" xfId="54" applyFont="1" applyBorder="1" applyAlignment="1">
      <alignment vertical="center" wrapText="1"/>
      <protection/>
    </xf>
    <xf numFmtId="166" fontId="7" fillId="0" borderId="0" xfId="57" applyNumberFormat="1">
      <alignment/>
      <protection/>
    </xf>
    <xf numFmtId="0" fontId="84" fillId="34" borderId="0" xfId="58" applyFont="1" applyFill="1">
      <alignment/>
      <protection/>
    </xf>
    <xf numFmtId="0" fontId="5" fillId="0" borderId="10" xfId="58" applyFont="1" applyFill="1" applyBorder="1">
      <alignment/>
      <protection/>
    </xf>
    <xf numFmtId="0" fontId="5" fillId="0" borderId="23" xfId="58" applyFont="1" applyFill="1" applyBorder="1">
      <alignment/>
      <protection/>
    </xf>
    <xf numFmtId="0" fontId="5" fillId="0" borderId="24" xfId="58" applyFont="1" applyFill="1" applyBorder="1">
      <alignment/>
      <protection/>
    </xf>
    <xf numFmtId="0" fontId="5" fillId="35" borderId="14" xfId="58" applyFont="1" applyFill="1" applyBorder="1">
      <alignment/>
      <protection/>
    </xf>
    <xf numFmtId="1" fontId="6" fillId="0" borderId="16" xfId="58" applyNumberFormat="1" applyFont="1" applyFill="1" applyBorder="1">
      <alignment/>
      <protection/>
    </xf>
    <xf numFmtId="0" fontId="32" fillId="34" borderId="0" xfId="58" applyFont="1" applyFill="1">
      <alignment/>
      <protection/>
    </xf>
    <xf numFmtId="0" fontId="5" fillId="0" borderId="25" xfId="58" applyFont="1" applyFill="1" applyBorder="1">
      <alignment/>
      <protection/>
    </xf>
    <xf numFmtId="0" fontId="5" fillId="0" borderId="26" xfId="58" applyFont="1" applyFill="1" applyBorder="1">
      <alignment/>
      <protection/>
    </xf>
    <xf numFmtId="0" fontId="5" fillId="0" borderId="27" xfId="58" applyFont="1" applyFill="1" applyBorder="1">
      <alignment/>
      <protection/>
    </xf>
    <xf numFmtId="0" fontId="5" fillId="0" borderId="28" xfId="58" applyFont="1" applyFill="1" applyBorder="1">
      <alignment/>
      <protection/>
    </xf>
    <xf numFmtId="0" fontId="5" fillId="0" borderId="29" xfId="58" applyFont="1" applyFill="1" applyBorder="1">
      <alignment/>
      <protection/>
    </xf>
    <xf numFmtId="0" fontId="5" fillId="0" borderId="30" xfId="58" applyFont="1" applyFill="1" applyBorder="1">
      <alignment/>
      <protection/>
    </xf>
    <xf numFmtId="0" fontId="5" fillId="0" borderId="31" xfId="58" applyFont="1" applyFill="1" applyBorder="1">
      <alignment/>
      <protection/>
    </xf>
    <xf numFmtId="2" fontId="5" fillId="0" borderId="32" xfId="58" applyNumberFormat="1" applyFont="1" applyFill="1" applyBorder="1">
      <alignment/>
      <protection/>
    </xf>
    <xf numFmtId="2" fontId="6" fillId="0" borderId="32" xfId="58" applyNumberFormat="1" applyFont="1" applyFill="1" applyBorder="1">
      <alignment/>
      <protection/>
    </xf>
    <xf numFmtId="1" fontId="6" fillId="0" borderId="33" xfId="58" applyNumberFormat="1" applyFont="1" applyFill="1" applyBorder="1">
      <alignment/>
      <protection/>
    </xf>
    <xf numFmtId="0" fontId="5" fillId="0" borderId="24" xfId="58" applyFont="1" applyFill="1" applyBorder="1" applyAlignment="1">
      <alignment horizontal="center"/>
      <protection/>
    </xf>
    <xf numFmtId="0" fontId="5" fillId="0" borderId="0" xfId="58" applyFont="1" applyFill="1" applyBorder="1" applyAlignment="1">
      <alignment horizontal="center"/>
      <protection/>
    </xf>
    <xf numFmtId="0" fontId="4" fillId="0" borderId="0" xfId="61" applyFont="1">
      <alignment/>
      <protection/>
    </xf>
    <xf numFmtId="0" fontId="21" fillId="0" borderId="0" xfId="61" applyFont="1">
      <alignment/>
      <protection/>
    </xf>
    <xf numFmtId="0" fontId="21" fillId="0" borderId="0" xfId="61" applyFont="1" applyAlignment="1">
      <alignment horizontal="center"/>
      <protection/>
    </xf>
    <xf numFmtId="0" fontId="19" fillId="0" borderId="0" xfId="61" applyFont="1">
      <alignment/>
      <protection/>
    </xf>
    <xf numFmtId="0" fontId="3" fillId="0" borderId="0" xfId="61" applyFont="1">
      <alignment/>
      <protection/>
    </xf>
    <xf numFmtId="0" fontId="26" fillId="0" borderId="30" xfId="0" applyFont="1" applyBorder="1" applyAlignment="1">
      <alignment vertical="center"/>
    </xf>
    <xf numFmtId="0" fontId="26" fillId="0" borderId="30" xfId="0" applyFont="1" applyBorder="1" applyAlignment="1">
      <alignment horizontal="right" vertical="center"/>
    </xf>
    <xf numFmtId="0" fontId="26" fillId="0" borderId="15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 wrapText="1"/>
    </xf>
    <xf numFmtId="3" fontId="11" fillId="0" borderId="35" xfId="0" applyNumberFormat="1" applyFont="1" applyBorder="1" applyAlignment="1">
      <alignment horizontal="center" vertical="center" wrapText="1"/>
    </xf>
    <xf numFmtId="196" fontId="0" fillId="0" borderId="36" xfId="0" applyNumberFormat="1" applyBorder="1" applyAlignment="1">
      <alignment horizontal="center"/>
    </xf>
    <xf numFmtId="0" fontId="11" fillId="0" borderId="37" xfId="0" applyFont="1" applyBorder="1" applyAlignment="1">
      <alignment horizontal="left"/>
    </xf>
    <xf numFmtId="0" fontId="29" fillId="0" borderId="20" xfId="0" applyFont="1" applyBorder="1" applyAlignment="1">
      <alignment horizontal="left" vertical="center" wrapText="1"/>
    </xf>
    <xf numFmtId="3" fontId="29" fillId="0" borderId="38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2" fontId="6" fillId="0" borderId="33" xfId="58" applyNumberFormat="1" applyFont="1" applyFill="1" applyBorder="1">
      <alignment/>
      <protection/>
    </xf>
    <xf numFmtId="0" fontId="6" fillId="0" borderId="39" xfId="58" applyFont="1" applyFill="1" applyBorder="1" applyAlignment="1">
      <alignment horizontal="center"/>
      <protection/>
    </xf>
    <xf numFmtId="0" fontId="10" fillId="0" borderId="0" xfId="56" applyFont="1" applyFill="1" applyBorder="1" applyAlignment="1">
      <alignment vertical="top"/>
      <protection/>
    </xf>
    <xf numFmtId="0" fontId="10" fillId="0" borderId="0" xfId="56" applyFont="1" applyFill="1" applyBorder="1" applyAlignment="1">
      <alignment horizontal="center" vertical="top"/>
      <protection/>
    </xf>
    <xf numFmtId="0" fontId="9" fillId="0" borderId="40" xfId="56" applyFont="1" applyFill="1" applyBorder="1" applyAlignment="1">
      <alignment/>
      <protection/>
    </xf>
    <xf numFmtId="3" fontId="9" fillId="0" borderId="40" xfId="55" applyNumberFormat="1" applyFont="1" applyFill="1" applyBorder="1" applyAlignment="1">
      <alignment horizontal="center" vertical="center" wrapText="1"/>
      <protection/>
    </xf>
    <xf numFmtId="3" fontId="9" fillId="0" borderId="41" xfId="55" applyNumberFormat="1" applyFont="1" applyFill="1" applyBorder="1" applyAlignment="1">
      <alignment horizontal="center" vertical="center" wrapText="1"/>
      <protection/>
    </xf>
    <xf numFmtId="3" fontId="9" fillId="0" borderId="42" xfId="55" applyNumberFormat="1" applyFont="1" applyFill="1" applyBorder="1" applyAlignment="1">
      <alignment horizontal="center" vertical="center" wrapText="1"/>
      <protection/>
    </xf>
    <xf numFmtId="3" fontId="9" fillId="0" borderId="43" xfId="55" applyNumberFormat="1" applyFont="1" applyFill="1" applyBorder="1" applyAlignment="1">
      <alignment horizontal="center" vertical="center" wrapText="1"/>
      <protection/>
    </xf>
    <xf numFmtId="0" fontId="11" fillId="0" borderId="21" xfId="56" applyFont="1" applyFill="1" applyBorder="1" applyAlignment="1">
      <alignment horizontal="center"/>
      <protection/>
    </xf>
    <xf numFmtId="0" fontId="11" fillId="0" borderId="35" xfId="56" applyFont="1" applyFill="1" applyBorder="1" applyAlignment="1">
      <alignment horizontal="center"/>
      <protection/>
    </xf>
    <xf numFmtId="0" fontId="11" fillId="0" borderId="44" xfId="56" applyFont="1" applyFill="1" applyBorder="1" applyAlignment="1">
      <alignment horizontal="center"/>
      <protection/>
    </xf>
    <xf numFmtId="0" fontId="11" fillId="0" borderId="45" xfId="56" applyFont="1" applyFill="1" applyBorder="1" applyAlignment="1">
      <alignment horizontal="center"/>
      <protection/>
    </xf>
    <xf numFmtId="0" fontId="12" fillId="0" borderId="14" xfId="56" applyFont="1" applyFill="1" applyBorder="1" applyAlignment="1">
      <alignment horizontal="left" vertical="center" wrapText="1"/>
      <protection/>
    </xf>
    <xf numFmtId="3" fontId="8" fillId="0" borderId="19" xfId="56" applyNumberFormat="1" applyFont="1" applyFill="1" applyBorder="1">
      <alignment/>
      <protection/>
    </xf>
    <xf numFmtId="1" fontId="8" fillId="0" borderId="35" xfId="57" applyNumberFormat="1" applyFont="1" applyFill="1" applyBorder="1">
      <alignment/>
      <protection/>
    </xf>
    <xf numFmtId="3" fontId="8" fillId="0" borderId="46" xfId="56" applyNumberFormat="1" applyFont="1" applyFill="1" applyBorder="1" applyAlignment="1">
      <alignment horizontal="center"/>
      <protection/>
    </xf>
    <xf numFmtId="1" fontId="8" fillId="0" borderId="14" xfId="57" applyNumberFormat="1" applyFont="1" applyFill="1" applyBorder="1">
      <alignment/>
      <protection/>
    </xf>
    <xf numFmtId="0" fontId="13" fillId="0" borderId="14" xfId="56" applyFont="1" applyFill="1" applyBorder="1" applyAlignment="1">
      <alignment horizontal="left" vertical="center" wrapText="1"/>
      <protection/>
    </xf>
    <xf numFmtId="166" fontId="8" fillId="0" borderId="19" xfId="56" applyNumberFormat="1" applyFont="1" applyFill="1" applyBorder="1">
      <alignment/>
      <protection/>
    </xf>
    <xf numFmtId="166" fontId="8" fillId="0" borderId="46" xfId="56" applyNumberFormat="1" applyFont="1" applyFill="1" applyBorder="1" applyAlignment="1">
      <alignment horizontal="center"/>
      <protection/>
    </xf>
    <xf numFmtId="2" fontId="14" fillId="0" borderId="10" xfId="56" applyNumberFormat="1" applyFont="1" applyFill="1" applyBorder="1" applyAlignment="1">
      <alignment horizontal="center" vertical="center"/>
      <protection/>
    </xf>
    <xf numFmtId="3" fontId="15" fillId="0" borderId="19" xfId="56" applyNumberFormat="1" applyFont="1" applyFill="1" applyBorder="1" applyAlignment="1">
      <alignment vertical="center"/>
      <protection/>
    </xf>
    <xf numFmtId="0" fontId="13" fillId="0" borderId="14" xfId="55" applyFont="1" applyFill="1" applyBorder="1" applyAlignment="1">
      <alignment horizontal="left" vertical="center" wrapText="1"/>
      <protection/>
    </xf>
    <xf numFmtId="3" fontId="15" fillId="0" borderId="19" xfId="56" applyNumberFormat="1" applyFont="1" applyFill="1" applyBorder="1">
      <alignment/>
      <protection/>
    </xf>
    <xf numFmtId="3" fontId="15" fillId="0" borderId="46" xfId="56" applyNumberFormat="1" applyFont="1" applyFill="1" applyBorder="1" applyAlignment="1">
      <alignment horizontal="center" vertical="center"/>
      <protection/>
    </xf>
    <xf numFmtId="0" fontId="17" fillId="0" borderId="10" xfId="56" applyFont="1" applyFill="1" applyBorder="1" applyAlignment="1">
      <alignment horizontal="center" vertical="center" wrapText="1"/>
      <protection/>
    </xf>
    <xf numFmtId="0" fontId="17" fillId="0" borderId="14" xfId="56" applyFont="1" applyFill="1" applyBorder="1" applyAlignment="1">
      <alignment horizontal="left" vertical="center" wrapText="1"/>
      <protection/>
    </xf>
    <xf numFmtId="3" fontId="9" fillId="0" borderId="19" xfId="56" applyNumberFormat="1" applyFont="1" applyFill="1" applyBorder="1" applyAlignment="1">
      <alignment horizontal="left" vertical="center" wrapText="1"/>
      <protection/>
    </xf>
    <xf numFmtId="3" fontId="9" fillId="0" borderId="46" xfId="56" applyNumberFormat="1" applyFont="1" applyFill="1" applyBorder="1" applyAlignment="1">
      <alignment horizontal="center" vertical="center" wrapText="1"/>
      <protection/>
    </xf>
    <xf numFmtId="0" fontId="12" fillId="0" borderId="10" xfId="56" applyFont="1" applyFill="1" applyBorder="1" applyAlignment="1">
      <alignment horizontal="center" vertical="center" wrapText="1"/>
      <protection/>
    </xf>
    <xf numFmtId="3" fontId="12" fillId="0" borderId="14" xfId="55" applyNumberFormat="1" applyFont="1" applyFill="1" applyBorder="1" applyAlignment="1">
      <alignment horizontal="left" vertical="center" wrapText="1"/>
      <protection/>
    </xf>
    <xf numFmtId="166" fontId="9" fillId="0" borderId="19" xfId="56" applyNumberFormat="1" applyFont="1" applyFill="1" applyBorder="1" applyAlignment="1">
      <alignment horizontal="left" vertical="center" wrapText="1"/>
      <protection/>
    </xf>
    <xf numFmtId="166" fontId="9" fillId="0" borderId="46" xfId="56" applyNumberFormat="1" applyFont="1" applyFill="1" applyBorder="1" applyAlignment="1">
      <alignment horizontal="center" vertical="center" wrapText="1"/>
      <protection/>
    </xf>
    <xf numFmtId="4" fontId="17" fillId="0" borderId="10" xfId="56" applyNumberFormat="1" applyFont="1" applyFill="1" applyBorder="1" applyAlignment="1">
      <alignment horizontal="center" vertical="center"/>
      <protection/>
    </xf>
    <xf numFmtId="4" fontId="17" fillId="0" borderId="14" xfId="56" applyNumberFormat="1" applyFont="1" applyFill="1" applyBorder="1" applyAlignment="1">
      <alignment horizontal="left" vertical="center" wrapText="1"/>
      <protection/>
    </xf>
    <xf numFmtId="4" fontId="9" fillId="0" borderId="19" xfId="56" applyNumberFormat="1" applyFont="1" applyFill="1" applyBorder="1" applyAlignment="1">
      <alignment horizontal="left" vertical="center" wrapText="1"/>
      <protection/>
    </xf>
    <xf numFmtId="0" fontId="17" fillId="0" borderId="10" xfId="55" applyFont="1" applyFill="1" applyBorder="1" applyAlignment="1">
      <alignment horizontal="center" vertical="center"/>
      <protection/>
    </xf>
    <xf numFmtId="0" fontId="17" fillId="0" borderId="14" xfId="55" applyFont="1" applyFill="1" applyBorder="1" applyAlignment="1">
      <alignment horizontal="left" vertical="center" wrapText="1"/>
      <protection/>
    </xf>
    <xf numFmtId="0" fontId="12" fillId="0" borderId="10" xfId="55" applyFont="1" applyFill="1" applyBorder="1" applyAlignment="1">
      <alignment horizontal="center"/>
      <protection/>
    </xf>
    <xf numFmtId="0" fontId="12" fillId="0" borderId="14" xfId="55" applyFont="1" applyFill="1" applyBorder="1" applyAlignment="1">
      <alignment horizontal="left" vertical="center" wrapText="1"/>
      <protection/>
    </xf>
    <xf numFmtId="0" fontId="12" fillId="0" borderId="10" xfId="55" applyFont="1" applyFill="1" applyBorder="1" applyAlignment="1">
      <alignment horizontal="center" vertical="center"/>
      <protection/>
    </xf>
    <xf numFmtId="0" fontId="17" fillId="0" borderId="11" xfId="55" applyFont="1" applyFill="1" applyBorder="1" applyAlignment="1">
      <alignment horizontal="center" vertical="center"/>
      <protection/>
    </xf>
    <xf numFmtId="0" fontId="17" fillId="0" borderId="15" xfId="55" applyFont="1" applyFill="1" applyBorder="1" applyAlignment="1">
      <alignment horizontal="left" vertical="center" wrapText="1"/>
      <protection/>
    </xf>
    <xf numFmtId="4" fontId="9" fillId="0" borderId="13" xfId="56" applyNumberFormat="1" applyFont="1" applyFill="1" applyBorder="1" applyAlignment="1">
      <alignment horizontal="left" vertical="center" wrapText="1"/>
      <protection/>
    </xf>
    <xf numFmtId="0" fontId="12" fillId="0" borderId="16" xfId="56" applyFont="1" applyFill="1" applyBorder="1">
      <alignment/>
      <protection/>
    </xf>
    <xf numFmtId="3" fontId="8" fillId="0" borderId="16" xfId="56" applyNumberFormat="1" applyFont="1" applyFill="1" applyBorder="1">
      <alignment/>
      <protection/>
    </xf>
    <xf numFmtId="3" fontId="8" fillId="0" borderId="47" xfId="56" applyNumberFormat="1" applyFont="1" applyFill="1" applyBorder="1" applyAlignment="1">
      <alignment horizontal="center"/>
      <protection/>
    </xf>
    <xf numFmtId="0" fontId="12" fillId="0" borderId="14" xfId="56" applyFont="1" applyFill="1" applyBorder="1">
      <alignment/>
      <protection/>
    </xf>
    <xf numFmtId="3" fontId="8" fillId="0" borderId="14" xfId="56" applyNumberFormat="1" applyFont="1" applyFill="1" applyBorder="1">
      <alignment/>
      <protection/>
    </xf>
    <xf numFmtId="0" fontId="12" fillId="0" borderId="14" xfId="56" applyFont="1" applyFill="1" applyBorder="1" applyAlignment="1">
      <alignment vertical="center" wrapText="1"/>
      <protection/>
    </xf>
    <xf numFmtId="166" fontId="8" fillId="0" borderId="14" xfId="56" applyNumberFormat="1" applyFont="1" applyFill="1" applyBorder="1" applyAlignment="1">
      <alignment vertical="center"/>
      <protection/>
    </xf>
    <xf numFmtId="3" fontId="8" fillId="0" borderId="19" xfId="56" applyNumberFormat="1" applyFont="1" applyFill="1" applyBorder="1" applyAlignment="1">
      <alignment horizontal="center" vertical="center"/>
      <protection/>
    </xf>
    <xf numFmtId="3" fontId="8" fillId="0" borderId="46" xfId="56" applyNumberFormat="1" applyFont="1" applyFill="1" applyBorder="1" applyAlignment="1">
      <alignment horizontal="center" vertical="center"/>
      <protection/>
    </xf>
    <xf numFmtId="0" fontId="17" fillId="0" borderId="14" xfId="56" applyFont="1" applyFill="1" applyBorder="1">
      <alignment/>
      <protection/>
    </xf>
    <xf numFmtId="4" fontId="9" fillId="0" borderId="14" xfId="56" applyNumberFormat="1" applyFont="1" applyFill="1" applyBorder="1">
      <alignment/>
      <protection/>
    </xf>
    <xf numFmtId="4" fontId="9" fillId="0" borderId="19" xfId="56" applyNumberFormat="1" applyFont="1" applyFill="1" applyBorder="1" applyAlignment="1">
      <alignment horizontal="center"/>
      <protection/>
    </xf>
    <xf numFmtId="4" fontId="9" fillId="0" borderId="46" xfId="56" applyNumberFormat="1" applyFont="1" applyFill="1" applyBorder="1" applyAlignment="1">
      <alignment horizontal="center"/>
      <protection/>
    </xf>
    <xf numFmtId="0" fontId="12" fillId="0" borderId="15" xfId="56" applyFont="1" applyFill="1" applyBorder="1">
      <alignment/>
      <protection/>
    </xf>
    <xf numFmtId="4" fontId="8" fillId="0" borderId="48" xfId="56" applyNumberFormat="1" applyFont="1" applyFill="1" applyBorder="1" applyAlignment="1">
      <alignment horizontal="center"/>
      <protection/>
    </xf>
    <xf numFmtId="0" fontId="7" fillId="0" borderId="0" xfId="57" applyFill="1">
      <alignment/>
      <protection/>
    </xf>
    <xf numFmtId="0" fontId="18" fillId="0" borderId="0" xfId="56" applyFont="1" applyFill="1" applyBorder="1" applyAlignment="1">
      <alignment/>
      <protection/>
    </xf>
    <xf numFmtId="0" fontId="11" fillId="0" borderId="0" xfId="56" applyFont="1" applyFill="1" applyBorder="1" applyAlignment="1">
      <alignment horizontal="center"/>
      <protection/>
    </xf>
    <xf numFmtId="0" fontId="11" fillId="0" borderId="0" xfId="56" applyFont="1" applyFill="1" applyBorder="1" applyAlignment="1">
      <alignment horizontal="right" vertical="top"/>
      <protection/>
    </xf>
    <xf numFmtId="3" fontId="11" fillId="0" borderId="0" xfId="56" applyNumberFormat="1" applyFont="1" applyFill="1" applyBorder="1" applyAlignment="1">
      <alignment horizontal="right" vertical="top"/>
      <protection/>
    </xf>
    <xf numFmtId="0" fontId="8" fillId="0" borderId="0" xfId="56" applyFill="1">
      <alignment/>
      <protection/>
    </xf>
    <xf numFmtId="3" fontId="8" fillId="0" borderId="0" xfId="56" applyNumberFormat="1" applyFill="1" applyBorder="1">
      <alignment/>
      <protection/>
    </xf>
    <xf numFmtId="3" fontId="8" fillId="0" borderId="0" xfId="56" applyNumberFormat="1" applyFill="1" applyBorder="1" applyAlignment="1">
      <alignment horizontal="center"/>
      <protection/>
    </xf>
    <xf numFmtId="3" fontId="7" fillId="0" borderId="0" xfId="57" applyNumberFormat="1" applyFill="1">
      <alignment/>
      <protection/>
    </xf>
    <xf numFmtId="4" fontId="5" fillId="0" borderId="0" xfId="0" applyNumberFormat="1" applyFont="1" applyFill="1" applyAlignment="1">
      <alignment/>
    </xf>
    <xf numFmtId="0" fontId="85" fillId="0" borderId="14" xfId="58" applyFont="1" applyFill="1" applyBorder="1">
      <alignment/>
      <protection/>
    </xf>
    <xf numFmtId="0" fontId="85" fillId="34" borderId="0" xfId="58" applyFont="1" applyFill="1">
      <alignment/>
      <protection/>
    </xf>
    <xf numFmtId="0" fontId="34" fillId="0" borderId="0" xfId="58" applyFont="1" applyFill="1">
      <alignment/>
      <protection/>
    </xf>
    <xf numFmtId="0" fontId="6" fillId="0" borderId="0" xfId="58" applyFont="1" applyFill="1">
      <alignment/>
      <protection/>
    </xf>
    <xf numFmtId="0" fontId="6" fillId="0" borderId="0" xfId="58" applyFont="1">
      <alignment/>
      <protection/>
    </xf>
    <xf numFmtId="2" fontId="6" fillId="0" borderId="0" xfId="58" applyNumberFormat="1" applyFont="1" applyFill="1">
      <alignment/>
      <protection/>
    </xf>
    <xf numFmtId="0" fontId="34" fillId="0" borderId="0" xfId="58" applyFont="1">
      <alignment/>
      <protection/>
    </xf>
    <xf numFmtId="1" fontId="34" fillId="0" borderId="0" xfId="58" applyNumberFormat="1" applyFont="1" applyFill="1">
      <alignment/>
      <protection/>
    </xf>
    <xf numFmtId="0" fontId="23" fillId="0" borderId="0" xfId="0" applyFont="1" applyAlignment="1">
      <alignment horizontal="left" wrapText="1"/>
    </xf>
    <xf numFmtId="0" fontId="27" fillId="0" borderId="0" xfId="0" applyFont="1" applyAlignment="1">
      <alignment horizontal="left" wrapText="1"/>
    </xf>
    <xf numFmtId="0" fontId="6" fillId="0" borderId="0" xfId="58" applyFont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33" fillId="0" borderId="0" xfId="58" applyFont="1">
      <alignment/>
      <protection/>
    </xf>
    <xf numFmtId="0" fontId="33" fillId="0" borderId="0" xfId="58" applyFont="1" applyFill="1">
      <alignment/>
      <protection/>
    </xf>
    <xf numFmtId="0" fontId="0" fillId="0" borderId="0" xfId="58" applyAlignment="1">
      <alignment wrapText="1"/>
      <protection/>
    </xf>
    <xf numFmtId="0" fontId="5" fillId="0" borderId="14" xfId="59" applyFont="1" applyFill="1" applyBorder="1">
      <alignment/>
      <protection/>
    </xf>
    <xf numFmtId="0" fontId="5" fillId="0" borderId="49" xfId="59" applyFont="1" applyFill="1" applyBorder="1">
      <alignment/>
      <protection/>
    </xf>
    <xf numFmtId="165" fontId="5" fillId="0" borderId="14" xfId="58" applyNumberFormat="1" applyFont="1" applyFill="1" applyBorder="1">
      <alignment/>
      <protection/>
    </xf>
    <xf numFmtId="0" fontId="35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wrapText="1"/>
    </xf>
    <xf numFmtId="0" fontId="6" fillId="0" borderId="0" xfId="0" applyFont="1" applyAlignment="1">
      <alignment/>
    </xf>
    <xf numFmtId="0" fontId="5" fillId="0" borderId="50" xfId="0" applyFont="1" applyBorder="1" applyAlignment="1">
      <alignment/>
    </xf>
    <xf numFmtId="0" fontId="5" fillId="0" borderId="51" xfId="0" applyFont="1" applyBorder="1" applyAlignment="1">
      <alignment horizontal="center" textRotation="90" wrapText="1"/>
    </xf>
    <xf numFmtId="0" fontId="6" fillId="0" borderId="51" xfId="0" applyFont="1" applyBorder="1" applyAlignment="1">
      <alignment horizontal="center" textRotation="90" wrapText="1"/>
    </xf>
    <xf numFmtId="0" fontId="6" fillId="0" borderId="51" xfId="0" applyFont="1" applyBorder="1" applyAlignment="1">
      <alignment textRotation="90" wrapText="1"/>
    </xf>
    <xf numFmtId="0" fontId="40" fillId="0" borderId="51" xfId="0" applyFont="1" applyBorder="1" applyAlignment="1">
      <alignment textRotation="90" wrapText="1"/>
    </xf>
    <xf numFmtId="0" fontId="5" fillId="0" borderId="40" xfId="0" applyFont="1" applyBorder="1" applyAlignment="1">
      <alignment horizontal="center" textRotation="90" wrapText="1"/>
    </xf>
    <xf numFmtId="0" fontId="6" fillId="0" borderId="50" xfId="0" applyFont="1" applyBorder="1" applyAlignment="1">
      <alignment horizontal="center" textRotation="90" wrapText="1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5" fillId="0" borderId="52" xfId="0" applyFont="1" applyBorder="1" applyAlignment="1">
      <alignment wrapText="1"/>
    </xf>
    <xf numFmtId="0" fontId="5" fillId="0" borderId="53" xfId="0" applyFont="1" applyBorder="1" applyAlignment="1">
      <alignment horizontal="right"/>
    </xf>
    <xf numFmtId="0" fontId="6" fillId="0" borderId="52" xfId="0" applyFont="1" applyBorder="1" applyAlignment="1">
      <alignment horizontal="right"/>
    </xf>
    <xf numFmtId="0" fontId="5" fillId="0" borderId="53" xfId="0" applyFont="1" applyBorder="1" applyAlignment="1">
      <alignment horizontal="center" wrapText="1"/>
    </xf>
    <xf numFmtId="0" fontId="5" fillId="0" borderId="53" xfId="0" applyFont="1" applyBorder="1" applyAlignment="1">
      <alignment wrapText="1"/>
    </xf>
    <xf numFmtId="0" fontId="5" fillId="0" borderId="40" xfId="0" applyFont="1" applyBorder="1" applyAlignment="1">
      <alignment/>
    </xf>
    <xf numFmtId="0" fontId="35" fillId="0" borderId="0" xfId="0" applyFont="1" applyAlignment="1">
      <alignment wrapText="1"/>
    </xf>
    <xf numFmtId="0" fontId="27" fillId="0" borderId="51" xfId="0" applyFont="1" applyBorder="1" applyAlignment="1">
      <alignment wrapText="1"/>
    </xf>
    <xf numFmtId="0" fontId="5" fillId="0" borderId="14" xfId="59" applyFont="1" applyFill="1" applyBorder="1">
      <alignment/>
      <protection/>
    </xf>
    <xf numFmtId="165" fontId="5" fillId="0" borderId="14" xfId="58" applyNumberFormat="1" applyFont="1" applyFill="1" applyBorder="1">
      <alignment/>
      <protection/>
    </xf>
    <xf numFmtId="0" fontId="5" fillId="0" borderId="14" xfId="58" applyFont="1" applyFill="1" applyBorder="1">
      <alignment/>
      <protection/>
    </xf>
    <xf numFmtId="2" fontId="5" fillId="0" borderId="14" xfId="58" applyNumberFormat="1" applyFont="1" applyFill="1" applyBorder="1">
      <alignment/>
      <protection/>
    </xf>
    <xf numFmtId="2" fontId="5" fillId="0" borderId="32" xfId="58" applyNumberFormat="1" applyFont="1" applyFill="1" applyBorder="1">
      <alignment/>
      <protection/>
    </xf>
    <xf numFmtId="2" fontId="5" fillId="0" borderId="19" xfId="58" applyNumberFormat="1" applyFont="1" applyFill="1" applyBorder="1">
      <alignment/>
      <protection/>
    </xf>
    <xf numFmtId="2" fontId="5" fillId="0" borderId="46" xfId="58" applyNumberFormat="1" applyFont="1" applyFill="1" applyBorder="1">
      <alignment/>
      <protection/>
    </xf>
    <xf numFmtId="0" fontId="5" fillId="0" borderId="49" xfId="59" applyFont="1" applyFill="1" applyBorder="1">
      <alignment/>
      <protection/>
    </xf>
    <xf numFmtId="166" fontId="86" fillId="0" borderId="46" xfId="56" applyNumberFormat="1" applyFont="1" applyFill="1" applyBorder="1" applyAlignment="1">
      <alignment horizontal="center"/>
      <protection/>
    </xf>
    <xf numFmtId="2" fontId="42" fillId="0" borderId="14" xfId="0" applyNumberFormat="1" applyFont="1" applyBorder="1" applyAlignment="1">
      <alignment/>
    </xf>
    <xf numFmtId="164" fontId="5" fillId="0" borderId="53" xfId="0" applyNumberFormat="1" applyFont="1" applyBorder="1" applyAlignment="1">
      <alignment horizontal="right"/>
    </xf>
    <xf numFmtId="2" fontId="5" fillId="0" borderId="30" xfId="0" applyNumberFormat="1" applyFont="1" applyBorder="1" applyAlignment="1">
      <alignment horizontal="right"/>
    </xf>
    <xf numFmtId="165" fontId="6" fillId="0" borderId="16" xfId="58" applyNumberFormat="1" applyFont="1" applyFill="1" applyBorder="1">
      <alignment/>
      <protection/>
    </xf>
    <xf numFmtId="0" fontId="5" fillId="0" borderId="35" xfId="59" applyFont="1" applyFill="1" applyBorder="1">
      <alignment/>
      <protection/>
    </xf>
    <xf numFmtId="0" fontId="5" fillId="0" borderId="35" xfId="58" applyFont="1" applyFill="1" applyBorder="1">
      <alignment/>
      <protection/>
    </xf>
    <xf numFmtId="0" fontId="5" fillId="0" borderId="35" xfId="59" applyFont="1" applyFill="1" applyBorder="1">
      <alignment/>
      <protection/>
    </xf>
    <xf numFmtId="0" fontId="5" fillId="0" borderId="35" xfId="58" applyFont="1" applyFill="1" applyBorder="1">
      <alignment/>
      <protection/>
    </xf>
    <xf numFmtId="0" fontId="22" fillId="0" borderId="0" xfId="60" applyFont="1">
      <alignment/>
      <protection/>
    </xf>
    <xf numFmtId="0" fontId="22" fillId="0" borderId="0" xfId="60" applyFont="1" applyAlignment="1">
      <alignment horizontal="right"/>
      <protection/>
    </xf>
    <xf numFmtId="0" fontId="22" fillId="0" borderId="14" xfId="60" applyFont="1" applyBorder="1">
      <alignment/>
      <protection/>
    </xf>
    <xf numFmtId="0" fontId="19" fillId="0" borderId="0" xfId="60" applyFont="1">
      <alignment/>
      <protection/>
    </xf>
    <xf numFmtId="0" fontId="4" fillId="0" borderId="0" xfId="60" applyFont="1">
      <alignment/>
      <protection/>
    </xf>
    <xf numFmtId="0" fontId="23" fillId="0" borderId="0" xfId="0" applyFont="1" applyAlignment="1">
      <alignment/>
    </xf>
    <xf numFmtId="0" fontId="5" fillId="0" borderId="0" xfId="0" applyFont="1" applyAlignment="1">
      <alignment/>
    </xf>
    <xf numFmtId="0" fontId="19" fillId="0" borderId="54" xfId="60" applyFont="1" applyBorder="1">
      <alignment/>
      <protection/>
    </xf>
    <xf numFmtId="0" fontId="43" fillId="0" borderId="54" xfId="60" applyFont="1" applyBorder="1">
      <alignment/>
      <protection/>
    </xf>
    <xf numFmtId="2" fontId="43" fillId="0" borderId="0" xfId="60" applyNumberFormat="1" applyFont="1">
      <alignment/>
      <protection/>
    </xf>
    <xf numFmtId="0" fontId="43" fillId="0" borderId="0" xfId="60" applyFont="1">
      <alignment/>
      <protection/>
    </xf>
    <xf numFmtId="0" fontId="43" fillId="0" borderId="54" xfId="60" applyFont="1" applyBorder="1" applyAlignment="1">
      <alignment/>
      <protection/>
    </xf>
    <xf numFmtId="0" fontId="22" fillId="0" borderId="55" xfId="60" applyFont="1" applyBorder="1" applyAlignment="1">
      <alignment/>
      <protection/>
    </xf>
    <xf numFmtId="0" fontId="19" fillId="0" borderId="54" xfId="61" applyFont="1" applyBorder="1">
      <alignment/>
      <protection/>
    </xf>
    <xf numFmtId="0" fontId="5" fillId="35" borderId="14" xfId="58" applyFont="1" applyFill="1" applyBorder="1">
      <alignment/>
      <protection/>
    </xf>
    <xf numFmtId="165" fontId="34" fillId="0" borderId="0" xfId="58" applyNumberFormat="1" applyFont="1" applyFill="1">
      <alignment/>
      <protection/>
    </xf>
    <xf numFmtId="0" fontId="46" fillId="0" borderId="0" xfId="61" applyFont="1">
      <alignment/>
      <protection/>
    </xf>
    <xf numFmtId="0" fontId="47" fillId="0" borderId="0" xfId="61" applyFont="1" applyBorder="1" applyAlignment="1">
      <alignment horizontal="center"/>
      <protection/>
    </xf>
    <xf numFmtId="0" fontId="45" fillId="0" borderId="0" xfId="61" applyFont="1" applyBorder="1" applyAlignment="1">
      <alignment horizontal="center"/>
      <protection/>
    </xf>
    <xf numFmtId="0" fontId="45" fillId="0" borderId="0" xfId="61" applyFont="1" applyBorder="1" applyAlignment="1">
      <alignment horizontal="left"/>
      <protection/>
    </xf>
    <xf numFmtId="1" fontId="45" fillId="0" borderId="0" xfId="61" applyNumberFormat="1" applyFont="1" applyBorder="1" applyAlignment="1">
      <alignment horizontal="right"/>
      <protection/>
    </xf>
    <xf numFmtId="164" fontId="45" fillId="0" borderId="0" xfId="61" applyNumberFormat="1" applyFont="1" applyBorder="1" applyAlignment="1">
      <alignment horizontal="center"/>
      <protection/>
    </xf>
    <xf numFmtId="0" fontId="47" fillId="0" borderId="0" xfId="61" applyFont="1" applyBorder="1" applyAlignment="1">
      <alignment horizontal="left"/>
      <protection/>
    </xf>
    <xf numFmtId="0" fontId="48" fillId="0" borderId="0" xfId="61" applyFont="1">
      <alignment/>
      <protection/>
    </xf>
    <xf numFmtId="1" fontId="47" fillId="0" borderId="0" xfId="61" applyNumberFormat="1" applyFont="1" applyBorder="1" applyAlignment="1">
      <alignment horizontal="right"/>
      <protection/>
    </xf>
    <xf numFmtId="0" fontId="47" fillId="0" borderId="0" xfId="61" applyFont="1" applyBorder="1" applyAlignment="1">
      <alignment horizontal="right"/>
      <protection/>
    </xf>
    <xf numFmtId="0" fontId="45" fillId="0" borderId="0" xfId="61" applyFont="1">
      <alignment/>
      <protection/>
    </xf>
    <xf numFmtId="0" fontId="45" fillId="0" borderId="0" xfId="61" applyFont="1" applyAlignment="1">
      <alignment horizontal="center"/>
      <protection/>
    </xf>
    <xf numFmtId="0" fontId="45" fillId="0" borderId="0" xfId="61" applyFont="1" applyBorder="1">
      <alignment/>
      <protection/>
    </xf>
    <xf numFmtId="0" fontId="47" fillId="0" borderId="0" xfId="61" applyFont="1">
      <alignment/>
      <protection/>
    </xf>
    <xf numFmtId="0" fontId="47" fillId="0" borderId="0" xfId="61" applyFont="1" applyAlignment="1">
      <alignment horizontal="center"/>
      <protection/>
    </xf>
    <xf numFmtId="0" fontId="19" fillId="0" borderId="56" xfId="61" applyFont="1" applyBorder="1" applyAlignment="1">
      <alignment horizontal="center"/>
      <protection/>
    </xf>
    <xf numFmtId="0" fontId="19" fillId="0" borderId="49" xfId="61" applyFont="1" applyBorder="1" applyAlignment="1">
      <alignment horizontal="center"/>
      <protection/>
    </xf>
    <xf numFmtId="0" fontId="19" fillId="0" borderId="17" xfId="61" applyFont="1" applyBorder="1" applyAlignment="1">
      <alignment horizontal="center"/>
      <protection/>
    </xf>
    <xf numFmtId="9" fontId="19" fillId="0" borderId="17" xfId="61" applyNumberFormat="1" applyFont="1" applyBorder="1" applyAlignment="1">
      <alignment horizontal="center"/>
      <protection/>
    </xf>
    <xf numFmtId="0" fontId="19" fillId="0" borderId="18" xfId="61" applyFont="1" applyBorder="1" applyAlignment="1">
      <alignment horizontal="center"/>
      <protection/>
    </xf>
    <xf numFmtId="0" fontId="19" fillId="0" borderId="57" xfId="61" applyFont="1" applyBorder="1" applyAlignment="1">
      <alignment horizontal="center"/>
      <protection/>
    </xf>
    <xf numFmtId="0" fontId="19" fillId="0" borderId="57" xfId="60" applyFont="1" applyBorder="1" applyAlignment="1">
      <alignment horizontal="center" wrapText="1"/>
      <protection/>
    </xf>
    <xf numFmtId="0" fontId="19" fillId="0" borderId="57" xfId="61" applyFont="1" applyBorder="1" applyAlignment="1">
      <alignment horizontal="center" vertical="top" wrapText="1"/>
      <protection/>
    </xf>
    <xf numFmtId="0" fontId="19" fillId="0" borderId="35" xfId="61" applyFont="1" applyBorder="1" applyAlignment="1">
      <alignment horizontal="center"/>
      <protection/>
    </xf>
    <xf numFmtId="0" fontId="19" fillId="0" borderId="35" xfId="61" applyFont="1" applyBorder="1" applyAlignment="1">
      <alignment horizontal="center" wrapText="1"/>
      <protection/>
    </xf>
    <xf numFmtId="0" fontId="19" fillId="0" borderId="14" xfId="61" applyFont="1" applyBorder="1" applyAlignment="1">
      <alignment horizontal="center"/>
      <protection/>
    </xf>
    <xf numFmtId="0" fontId="9" fillId="0" borderId="43" xfId="56" applyFont="1" applyFill="1" applyBorder="1" applyAlignment="1">
      <alignment horizontal="center" vertical="center" wrapText="1"/>
      <protection/>
    </xf>
    <xf numFmtId="0" fontId="9" fillId="0" borderId="52" xfId="56" applyFont="1" applyFill="1" applyBorder="1" applyAlignment="1">
      <alignment horizontal="center" vertical="center" wrapText="1"/>
      <protection/>
    </xf>
    <xf numFmtId="0" fontId="18" fillId="0" borderId="0" xfId="56" applyFont="1" applyFill="1" applyBorder="1" applyAlignment="1">
      <alignment horizontal="center" vertical="center" wrapText="1"/>
      <protection/>
    </xf>
    <xf numFmtId="0" fontId="9" fillId="0" borderId="0" xfId="56" applyFont="1" applyFill="1">
      <alignment/>
      <protection/>
    </xf>
    <xf numFmtId="0" fontId="10" fillId="0" borderId="58" xfId="56" applyFont="1" applyFill="1" applyBorder="1" applyAlignment="1">
      <alignment horizontal="center" vertical="center"/>
      <protection/>
    </xf>
    <xf numFmtId="0" fontId="10" fillId="0" borderId="40" xfId="56" applyFont="1" applyFill="1" applyBorder="1" applyAlignment="1">
      <alignment horizontal="center" vertical="center"/>
      <protection/>
    </xf>
    <xf numFmtId="0" fontId="10" fillId="0" borderId="30" xfId="56" applyFont="1" applyFill="1" applyBorder="1" applyAlignment="1">
      <alignment horizontal="center" vertical="center"/>
      <protection/>
    </xf>
    <xf numFmtId="0" fontId="9" fillId="0" borderId="58" xfId="56" applyFont="1" applyFill="1" applyBorder="1" applyAlignment="1">
      <alignment horizontal="center"/>
      <protection/>
    </xf>
    <xf numFmtId="0" fontId="9" fillId="0" borderId="40" xfId="56" applyFont="1" applyFill="1" applyBorder="1" applyAlignment="1">
      <alignment horizontal="center"/>
      <protection/>
    </xf>
    <xf numFmtId="0" fontId="5" fillId="0" borderId="26" xfId="58" applyFont="1" applyFill="1" applyBorder="1" applyAlignment="1">
      <alignment horizontal="center" vertical="center" textRotation="90" wrapText="1"/>
      <protection/>
    </xf>
    <xf numFmtId="0" fontId="5" fillId="0" borderId="18" xfId="58" applyFont="1" applyFill="1" applyBorder="1" applyAlignment="1">
      <alignment horizontal="center" vertical="center" textRotation="90" wrapText="1"/>
      <protection/>
    </xf>
    <xf numFmtId="0" fontId="5" fillId="0" borderId="23" xfId="58" applyFont="1" applyFill="1" applyBorder="1" applyAlignment="1">
      <alignment horizontal="center" vertical="center" textRotation="90" wrapText="1"/>
      <protection/>
    </xf>
    <xf numFmtId="0" fontId="23" fillId="0" borderId="0" xfId="0" applyFont="1" applyAlignment="1">
      <alignment horizontal="left" wrapText="1"/>
    </xf>
    <xf numFmtId="0" fontId="27" fillId="0" borderId="0" xfId="0" applyFont="1" applyAlignment="1">
      <alignment horizontal="left" wrapText="1"/>
    </xf>
    <xf numFmtId="0" fontId="6" fillId="0" borderId="43" xfId="58" applyFont="1" applyFill="1" applyBorder="1" applyAlignment="1">
      <alignment horizontal="center" vertical="center" textRotation="90" wrapText="1"/>
      <protection/>
    </xf>
    <xf numFmtId="0" fontId="6" fillId="0" borderId="39" xfId="58" applyFont="1" applyFill="1" applyBorder="1" applyAlignment="1">
      <alignment horizontal="center" vertical="center" textRotation="90" wrapText="1"/>
      <protection/>
    </xf>
    <xf numFmtId="0" fontId="6" fillId="0" borderId="52" xfId="58" applyFont="1" applyFill="1" applyBorder="1" applyAlignment="1">
      <alignment horizontal="center" vertical="center" textRotation="90" wrapText="1"/>
      <protection/>
    </xf>
    <xf numFmtId="0" fontId="5" fillId="0" borderId="43" xfId="58" applyFont="1" applyFill="1" applyBorder="1" applyAlignment="1">
      <alignment horizontal="center" vertical="center" wrapText="1"/>
      <protection/>
    </xf>
    <xf numFmtId="0" fontId="5" fillId="0" borderId="39" xfId="58" applyFont="1" applyFill="1" applyBorder="1" applyAlignment="1">
      <alignment horizontal="center" vertical="center" wrapText="1"/>
      <protection/>
    </xf>
    <xf numFmtId="0" fontId="5" fillId="0" borderId="52" xfId="58" applyFont="1" applyFill="1" applyBorder="1" applyAlignment="1">
      <alignment horizontal="center" vertical="center" wrapText="1"/>
      <protection/>
    </xf>
    <xf numFmtId="0" fontId="6" fillId="0" borderId="43" xfId="58" applyFont="1" applyFill="1" applyBorder="1" applyAlignment="1">
      <alignment horizontal="center" vertical="center" wrapText="1"/>
      <protection/>
    </xf>
    <xf numFmtId="0" fontId="6" fillId="0" borderId="39" xfId="58" applyFont="1" applyFill="1" applyBorder="1" applyAlignment="1">
      <alignment horizontal="center" vertical="center" wrapText="1"/>
      <protection/>
    </xf>
    <xf numFmtId="0" fontId="6" fillId="0" borderId="52" xfId="58" applyFont="1" applyFill="1" applyBorder="1" applyAlignment="1">
      <alignment horizontal="center" vertical="center" wrapText="1"/>
      <protection/>
    </xf>
    <xf numFmtId="0" fontId="5" fillId="0" borderId="43" xfId="58" applyFont="1" applyFill="1" applyBorder="1" applyAlignment="1">
      <alignment horizontal="center" vertical="center" textRotation="90" wrapText="1"/>
      <protection/>
    </xf>
    <xf numFmtId="0" fontId="5" fillId="0" borderId="39" xfId="58" applyFont="1" applyFill="1" applyBorder="1" applyAlignment="1">
      <alignment horizontal="center" vertical="center" textRotation="90" wrapText="1"/>
      <protection/>
    </xf>
    <xf numFmtId="0" fontId="5" fillId="0" borderId="52" xfId="58" applyFont="1" applyFill="1" applyBorder="1" applyAlignment="1">
      <alignment horizontal="center" vertical="center" textRotation="90" wrapText="1"/>
      <protection/>
    </xf>
    <xf numFmtId="0" fontId="5" fillId="0" borderId="26" xfId="58" applyFont="1" applyFill="1" applyBorder="1" applyAlignment="1">
      <alignment horizontal="center" wrapText="1"/>
      <protection/>
    </xf>
    <xf numFmtId="0" fontId="5" fillId="0" borderId="18" xfId="58" applyFont="1" applyFill="1" applyBorder="1" applyAlignment="1">
      <alignment horizontal="center" wrapText="1"/>
      <protection/>
    </xf>
    <xf numFmtId="0" fontId="5" fillId="0" borderId="23" xfId="58" applyFont="1" applyFill="1" applyBorder="1" applyAlignment="1">
      <alignment horizontal="center" wrapText="1"/>
      <protection/>
    </xf>
    <xf numFmtId="0" fontId="5" fillId="0" borderId="59" xfId="58" applyFont="1" applyFill="1" applyBorder="1" applyAlignment="1">
      <alignment horizontal="center" vertical="center" wrapText="1"/>
      <protection/>
    </xf>
    <xf numFmtId="0" fontId="5" fillId="0" borderId="60" xfId="58" applyFont="1" applyFill="1" applyBorder="1" applyAlignment="1">
      <alignment horizontal="center" vertical="center" wrapText="1"/>
      <protection/>
    </xf>
    <xf numFmtId="0" fontId="5" fillId="0" borderId="61" xfId="58" applyFont="1" applyFill="1" applyBorder="1" applyAlignment="1">
      <alignment horizontal="center" vertical="center" wrapText="1"/>
      <protection/>
    </xf>
    <xf numFmtId="0" fontId="5" fillId="0" borderId="62" xfId="58" applyFont="1" applyFill="1" applyBorder="1" applyAlignment="1">
      <alignment horizontal="center" vertical="center" wrapText="1"/>
      <protection/>
    </xf>
    <xf numFmtId="0" fontId="5" fillId="0" borderId="63" xfId="58" applyFont="1" applyFill="1" applyBorder="1" applyAlignment="1">
      <alignment horizontal="center" vertical="center" wrapText="1"/>
      <protection/>
    </xf>
    <xf numFmtId="0" fontId="5" fillId="0" borderId="53" xfId="58" applyFont="1" applyFill="1" applyBorder="1" applyAlignment="1">
      <alignment horizontal="center" vertical="center" wrapText="1"/>
      <protection/>
    </xf>
    <xf numFmtId="0" fontId="5" fillId="0" borderId="26" xfId="58" applyFont="1" applyFill="1" applyBorder="1" applyAlignment="1">
      <alignment horizontal="center" vertical="center" wrapText="1"/>
      <protection/>
    </xf>
    <xf numFmtId="0" fontId="5" fillId="0" borderId="18" xfId="58" applyFont="1" applyFill="1" applyBorder="1" applyAlignment="1">
      <alignment horizontal="center" vertical="center" wrapText="1"/>
      <protection/>
    </xf>
    <xf numFmtId="0" fontId="5" fillId="0" borderId="23" xfId="58" applyFont="1" applyFill="1" applyBorder="1" applyAlignment="1">
      <alignment horizontal="center" vertical="center" wrapText="1"/>
      <protection/>
    </xf>
    <xf numFmtId="0" fontId="5" fillId="35" borderId="64" xfId="58" applyFont="1" applyFill="1" applyBorder="1" applyAlignment="1">
      <alignment horizontal="center" wrapText="1"/>
      <protection/>
    </xf>
    <xf numFmtId="0" fontId="5" fillId="35" borderId="65" xfId="58" applyFont="1" applyFill="1" applyBorder="1" applyAlignment="1">
      <alignment horizontal="center" wrapText="1"/>
      <protection/>
    </xf>
    <xf numFmtId="0" fontId="5" fillId="35" borderId="66" xfId="58" applyFont="1" applyFill="1" applyBorder="1" applyAlignment="1">
      <alignment horizontal="center" wrapText="1"/>
      <protection/>
    </xf>
    <xf numFmtId="0" fontId="5" fillId="0" borderId="59" xfId="58" applyFont="1" applyFill="1" applyBorder="1" applyAlignment="1">
      <alignment horizontal="center" wrapText="1"/>
      <protection/>
    </xf>
    <xf numFmtId="0" fontId="5" fillId="0" borderId="60" xfId="58" applyFont="1" applyFill="1" applyBorder="1" applyAlignment="1">
      <alignment horizontal="center" wrapText="1"/>
      <protection/>
    </xf>
    <xf numFmtId="0" fontId="5" fillId="0" borderId="61" xfId="58" applyFont="1" applyFill="1" applyBorder="1" applyAlignment="1">
      <alignment horizontal="center" wrapText="1"/>
      <protection/>
    </xf>
    <xf numFmtId="0" fontId="5" fillId="0" borderId="62" xfId="58" applyFont="1" applyFill="1" applyBorder="1" applyAlignment="1">
      <alignment horizontal="center" wrapText="1"/>
      <protection/>
    </xf>
    <xf numFmtId="0" fontId="5" fillId="0" borderId="63" xfId="58" applyFont="1" applyFill="1" applyBorder="1" applyAlignment="1">
      <alignment horizontal="center" wrapText="1"/>
      <protection/>
    </xf>
    <xf numFmtId="0" fontId="5" fillId="0" borderId="53" xfId="58" applyFont="1" applyFill="1" applyBorder="1" applyAlignment="1">
      <alignment horizontal="center" wrapText="1"/>
      <protection/>
    </xf>
    <xf numFmtId="0" fontId="25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 wrapText="1"/>
    </xf>
    <xf numFmtId="0" fontId="26" fillId="0" borderId="64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11" fillId="0" borderId="27" xfId="0" applyFont="1" applyBorder="1" applyAlignment="1">
      <alignment vertical="top" wrapText="1"/>
    </xf>
    <xf numFmtId="165" fontId="30" fillId="0" borderId="41" xfId="54" applyNumberFormat="1" applyFont="1" applyBorder="1" applyAlignment="1">
      <alignment horizontal="right"/>
      <protection/>
    </xf>
    <xf numFmtId="165" fontId="30" fillId="0" borderId="67" xfId="54" applyNumberFormat="1" applyFont="1" applyBorder="1" applyAlignment="1">
      <alignment horizontal="right"/>
      <protection/>
    </xf>
    <xf numFmtId="1" fontId="30" fillId="0" borderId="41" xfId="54" applyNumberFormat="1" applyFont="1" applyBorder="1" applyAlignment="1">
      <alignment horizontal="right"/>
      <protection/>
    </xf>
    <xf numFmtId="1" fontId="30" fillId="0" borderId="67" xfId="54" applyNumberFormat="1" applyFont="1" applyBorder="1" applyAlignment="1">
      <alignment horizontal="right"/>
      <protection/>
    </xf>
    <xf numFmtId="0" fontId="26" fillId="0" borderId="57" xfId="54" applyBorder="1" applyAlignment="1">
      <alignment horizontal="right"/>
      <protection/>
    </xf>
    <xf numFmtId="0" fontId="26" fillId="0" borderId="68" xfId="54" applyBorder="1" applyAlignment="1">
      <alignment horizontal="right"/>
      <protection/>
    </xf>
    <xf numFmtId="1" fontId="26" fillId="0" borderId="57" xfId="54" applyNumberFormat="1" applyBorder="1" applyAlignment="1">
      <alignment horizontal="right"/>
      <protection/>
    </xf>
    <xf numFmtId="1" fontId="26" fillId="0" borderId="69" xfId="54" applyNumberFormat="1" applyBorder="1" applyAlignment="1">
      <alignment horizontal="right"/>
      <protection/>
    </xf>
    <xf numFmtId="0" fontId="26" fillId="0" borderId="13" xfId="54" applyBorder="1" applyAlignment="1">
      <alignment horizontal="right"/>
      <protection/>
    </xf>
    <xf numFmtId="0" fontId="26" fillId="0" borderId="70" xfId="54" applyBorder="1" applyAlignment="1">
      <alignment horizontal="right"/>
      <protection/>
    </xf>
    <xf numFmtId="0" fontId="26" fillId="0" borderId="69" xfId="54" applyBorder="1" applyAlignment="1">
      <alignment horizontal="right"/>
      <protection/>
    </xf>
    <xf numFmtId="2" fontId="26" fillId="0" borderId="57" xfId="54" applyNumberFormat="1" applyBorder="1" applyAlignment="1">
      <alignment horizontal="right"/>
      <protection/>
    </xf>
    <xf numFmtId="2" fontId="26" fillId="0" borderId="69" xfId="54" applyNumberFormat="1" applyBorder="1" applyAlignment="1">
      <alignment horizontal="right"/>
      <protection/>
    </xf>
    <xf numFmtId="0" fontId="26" fillId="0" borderId="47" xfId="54" applyBorder="1" applyAlignment="1">
      <alignment horizontal="right"/>
      <protection/>
    </xf>
    <xf numFmtId="0" fontId="26" fillId="0" borderId="71" xfId="54" applyBorder="1" applyAlignment="1">
      <alignment horizontal="right"/>
      <protection/>
    </xf>
    <xf numFmtId="1" fontId="26" fillId="0" borderId="47" xfId="54" applyNumberFormat="1" applyBorder="1" applyAlignment="1">
      <alignment horizontal="right"/>
      <protection/>
    </xf>
    <xf numFmtId="0" fontId="26" fillId="0" borderId="72" xfId="54" applyBorder="1" applyAlignment="1">
      <alignment horizontal="right"/>
      <protection/>
    </xf>
    <xf numFmtId="1" fontId="26" fillId="0" borderId="68" xfId="54" applyNumberFormat="1" applyBorder="1" applyAlignment="1">
      <alignment horizontal="right"/>
      <protection/>
    </xf>
    <xf numFmtId="0" fontId="25" fillId="0" borderId="0" xfId="54" applyFont="1" applyBorder="1" applyAlignment="1">
      <alignment horizontal="center" vertical="center"/>
      <protection/>
    </xf>
    <xf numFmtId="0" fontId="9" fillId="0" borderId="0" xfId="54" applyFont="1" applyAlignment="1">
      <alignment horizontal="center" wrapText="1"/>
      <protection/>
    </xf>
    <xf numFmtId="0" fontId="26" fillId="0" borderId="30" xfId="54" applyFont="1" applyBorder="1" applyAlignment="1">
      <alignment horizontal="right"/>
      <protection/>
    </xf>
    <xf numFmtId="0" fontId="26" fillId="0" borderId="41" xfId="54" applyBorder="1" applyAlignment="1">
      <alignment horizontal="center" vertical="center" wrapText="1"/>
      <protection/>
    </xf>
    <xf numFmtId="0" fontId="26" fillId="0" borderId="67" xfId="54" applyBorder="1" applyAlignment="1">
      <alignment horizontal="center" vertical="center" wrapText="1"/>
      <protection/>
    </xf>
    <xf numFmtId="0" fontId="26" fillId="0" borderId="51" xfId="54" applyBorder="1" applyAlignment="1">
      <alignment horizontal="center" vertical="center" wrapText="1"/>
      <protection/>
    </xf>
    <xf numFmtId="0" fontId="27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23" fillId="0" borderId="0" xfId="0" applyFont="1" applyAlignment="1">
      <alignment horizontal="center" wrapText="1"/>
    </xf>
    <xf numFmtId="0" fontId="27" fillId="0" borderId="58" xfId="0" applyFont="1" applyBorder="1" applyAlignment="1">
      <alignment wrapText="1"/>
    </xf>
    <xf numFmtId="0" fontId="27" fillId="0" borderId="40" xfId="0" applyFont="1" applyBorder="1" applyAlignment="1">
      <alignment wrapText="1"/>
    </xf>
    <xf numFmtId="0" fontId="27" fillId="0" borderId="58" xfId="0" applyFont="1" applyBorder="1" applyAlignment="1">
      <alignment horizontal="center" wrapText="1"/>
    </xf>
    <xf numFmtId="0" fontId="27" fillId="0" borderId="73" xfId="0" applyFont="1" applyBorder="1" applyAlignment="1">
      <alignment horizontal="center" wrapText="1"/>
    </xf>
    <xf numFmtId="0" fontId="27" fillId="0" borderId="74" xfId="0" applyFont="1" applyBorder="1" applyAlignment="1">
      <alignment horizontal="center" wrapText="1"/>
    </xf>
    <xf numFmtId="2" fontId="23" fillId="0" borderId="74" xfId="0" applyNumberFormat="1" applyFont="1" applyBorder="1" applyAlignment="1">
      <alignment horizontal="center" wrapText="1"/>
    </xf>
    <xf numFmtId="0" fontId="23" fillId="0" borderId="73" xfId="0" applyFont="1" applyBorder="1" applyAlignment="1">
      <alignment horizontal="center" wrapText="1"/>
    </xf>
    <xf numFmtId="0" fontId="5" fillId="0" borderId="75" xfId="0" applyFont="1" applyBorder="1" applyAlignment="1">
      <alignment vertical="top" wrapText="1"/>
    </xf>
    <xf numFmtId="0" fontId="5" fillId="0" borderId="58" xfId="0" applyFont="1" applyBorder="1" applyAlignment="1">
      <alignment horizontal="center" wrapText="1"/>
    </xf>
    <xf numFmtId="0" fontId="5" fillId="0" borderId="51" xfId="0" applyFont="1" applyBorder="1" applyAlignment="1">
      <alignment horizontal="center" wrapText="1"/>
    </xf>
    <xf numFmtId="2" fontId="6" fillId="0" borderId="58" xfId="0" applyNumberFormat="1" applyFont="1" applyBorder="1" applyAlignment="1">
      <alignment horizontal="center" wrapText="1"/>
    </xf>
    <xf numFmtId="0" fontId="6" fillId="0" borderId="73" xfId="0" applyFont="1" applyBorder="1" applyAlignment="1">
      <alignment horizontal="center" wrapText="1"/>
    </xf>
    <xf numFmtId="2" fontId="6" fillId="0" borderId="73" xfId="0" applyNumberFormat="1" applyFont="1" applyBorder="1" applyAlignment="1">
      <alignment horizontal="center" wrapText="1"/>
    </xf>
    <xf numFmtId="0" fontId="5" fillId="0" borderId="73" xfId="0" applyFont="1" applyBorder="1" applyAlignment="1">
      <alignment horizontal="center" wrapText="1"/>
    </xf>
    <xf numFmtId="0" fontId="5" fillId="0" borderId="74" xfId="0" applyFont="1" applyBorder="1" applyAlignment="1">
      <alignment horizontal="center" wrapText="1"/>
    </xf>
    <xf numFmtId="2" fontId="5" fillId="0" borderId="58" xfId="0" applyNumberFormat="1" applyFont="1" applyBorder="1" applyAlignment="1">
      <alignment horizontal="center" wrapText="1"/>
    </xf>
    <xf numFmtId="2" fontId="5" fillId="0" borderId="51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58" xfId="0" applyFont="1" applyBorder="1" applyAlignment="1">
      <alignment horizontal="center" wrapText="1"/>
    </xf>
    <xf numFmtId="0" fontId="27" fillId="0" borderId="75" xfId="0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164" fontId="5" fillId="0" borderId="74" xfId="0" applyNumberFormat="1" applyFont="1" applyBorder="1" applyAlignment="1">
      <alignment horizontal="center" wrapText="1"/>
    </xf>
    <xf numFmtId="164" fontId="5" fillId="0" borderId="51" xfId="0" applyNumberFormat="1" applyFont="1" applyBorder="1" applyAlignment="1">
      <alignment horizontal="center" wrapText="1"/>
    </xf>
    <xf numFmtId="2" fontId="6" fillId="0" borderId="58" xfId="0" applyNumberFormat="1" applyFont="1" applyBorder="1" applyAlignment="1">
      <alignment horizontal="center"/>
    </xf>
    <xf numFmtId="2" fontId="6" fillId="0" borderId="73" xfId="0" applyNumberFormat="1" applyFont="1" applyBorder="1" applyAlignment="1">
      <alignment horizontal="center"/>
    </xf>
    <xf numFmtId="0" fontId="27" fillId="0" borderId="24" xfId="0" applyFont="1" applyBorder="1" applyAlignment="1">
      <alignment wrapText="1"/>
    </xf>
    <xf numFmtId="0" fontId="23" fillId="0" borderId="0" xfId="0" applyFont="1" applyAlignment="1">
      <alignment horizontal="center"/>
    </xf>
    <xf numFmtId="0" fontId="19" fillId="0" borderId="49" xfId="61" applyFont="1" applyBorder="1" applyAlignment="1">
      <alignment horizontal="center" vertical="top" wrapText="1"/>
      <protection/>
    </xf>
    <xf numFmtId="0" fontId="19" fillId="0" borderId="18" xfId="61" applyFont="1" applyBorder="1" applyAlignment="1">
      <alignment horizontal="center" vertical="top" wrapText="1"/>
      <protection/>
    </xf>
    <xf numFmtId="0" fontId="19" fillId="0" borderId="35" xfId="61" applyFont="1" applyBorder="1" applyAlignment="1">
      <alignment horizontal="center" vertical="top" wrapText="1"/>
      <protection/>
    </xf>
    <xf numFmtId="0" fontId="19" fillId="0" borderId="19" xfId="61" applyFont="1" applyBorder="1" applyAlignment="1">
      <alignment horizontal="center"/>
      <protection/>
    </xf>
    <xf numFmtId="0" fontId="19" fillId="0" borderId="76" xfId="61" applyFont="1" applyBorder="1" applyAlignment="1">
      <alignment horizontal="center"/>
      <protection/>
    </xf>
    <xf numFmtId="0" fontId="47" fillId="0" borderId="0" xfId="61" applyFont="1" applyBorder="1" applyAlignment="1">
      <alignment horizontal="center"/>
      <protection/>
    </xf>
    <xf numFmtId="0" fontId="5" fillId="0" borderId="14" xfId="0" applyFont="1" applyBorder="1" applyAlignment="1">
      <alignment horizontal="center"/>
    </xf>
    <xf numFmtId="49" fontId="23" fillId="0" borderId="14" xfId="0" applyNumberFormat="1" applyFont="1" applyFill="1" applyBorder="1" applyAlignment="1">
      <alignment horizontal="center"/>
    </xf>
    <xf numFmtId="49" fontId="24" fillId="0" borderId="14" xfId="0" applyNumberFormat="1" applyFont="1" applyFill="1" applyBorder="1" applyAlignment="1">
      <alignment horizont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4" xfId="55"/>
    <cellStyle name="Обычный_Лист5" xfId="56"/>
    <cellStyle name="Обычный_Методика РЭК 2006 (Вода, сток)" xfId="57"/>
    <cellStyle name="Обычный_Сод. жилья" xfId="58"/>
    <cellStyle name="Обычный_Сод. жилья 2" xfId="59"/>
    <cellStyle name="Обычный_Штатное Транспорт с 1.01.05 1000 2" xfId="60"/>
    <cellStyle name="Обычный_ШТАТЫ МУП Жилкомсервис  с 1 января 2006 года 2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86fc0bdfc94dd\c\&#1050;&#1072;&#1073;&#1080;&#1094;&#1082;&#1072;&#1103;%20&#1043;.&#1042;\Plan\&#1052;&#1086;&#1080;%20&#1076;&#1086;&#1082;&#1091;&#1084;&#1077;&#1085;&#1090;&#1099;\&#1058;&#1040;&#1056;&#1048;&#1060;&#1067;%202006%20&#1075;&#1086;&#1076;\&#1040;&#1085;&#1082;&#1077;&#1090;&#1099;%20&#1080;%20&#1087;&#1088;&#1080;&#1083;&#1086;&#1078;&#1077;&#1085;&#1080;&#1103;%20&#1075;&#1072;&#1083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&#1040;&#1058;&#1051;&#1040;&#1053;&#1058;\LOCALS~1\Temp\Rar$DI00.156\&#1040;&#1085;&#1082;&#1077;&#1090;&#1099;%20&#1080;%20&#1087;&#1088;&#1080;&#1083;&#1086;&#1078;&#1077;&#1085;&#1080;&#1103;%20&#1053;&#1072;&#1090;&#1072;&#1096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40;&#1085;&#1082;&#1077;&#1090;&#1099;%20&#1080;%20&#1087;&#1088;&#1080;&#1083;&#1086;&#1078;&#1077;&#1085;&#1080;&#1103;%20&#1053;&#1072;&#1090;&#1072;&#1096;&#107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77;%20&#1076;&#1086;&#1082;&#1091;&#1084;&#1077;&#1085;&#1090;&#1099;\&#1056;&#1072;&#1089;&#1095;&#1077;&#1090;%20&#1082;%20&#1076;&#1086;&#1075;&#1086;&#1074;&#1086;&#1088;&#1072;&#1084;%202009\&#1057;&#1052;&#1045;&#1058;&#1067;%20&#1087;&#1086;%20&#1058;&#1040;&#1056;&#1048;&#1060;&#1040;&#1052;\&#1040;&#1085;&#1082;&#1077;&#1090;&#1072;%20&#1080;%20&#1055;&#1088;&#1080;&#1083;&#1086;&#1078;&#1077;&#1085;&#1080;&#1103;%2020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&#1040;&#1058;&#1051;&#1040;&#1053;&#1058;\LOCALS~1\Temp\Rar$DI00.750\&#1040;&#1085;&#1082;&#1077;&#1090;&#1099;%20&#1080;%20&#1087;&#1088;&#1080;&#1083;&#1086;&#1078;&#1077;&#1085;&#1080;&#1103;%20&#1053;&#1072;&#1090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"/>
      <sheetName val="Прил 2.1 ОХР 1 кв."/>
      <sheetName val="Прил 2.1 ОХР"/>
      <sheetName val="Прил 2.2 ОХР (1КВ)"/>
      <sheetName val="Прил 2.2 ОХР"/>
      <sheetName val="Прил 2.3 ОХР"/>
      <sheetName val="Прил 2.4 Проценты"/>
      <sheetName val="Прил 2.5 Усл.банков 04 сток"/>
      <sheetName val="Прил 2.5 Усл.банков 04 вод"/>
      <sheetName val="Прил 2.5 Усл.банков 04т"/>
      <sheetName val="Прил 2.5 Усл.банков 05 с"/>
      <sheetName val="Прил 2.5 Усл.банков 05в"/>
      <sheetName val="Прил 2.5 Усл.банков05 т"/>
      <sheetName val="Прил 3.1 Проч статьи"/>
      <sheetName val="Прил 3.2 Сбыт"/>
      <sheetName val="Прил 3.3 Прочие"/>
      <sheetName val="Прил 4.1 Плата за воду "/>
      <sheetName val="Прил 4.2 База Водн."/>
      <sheetName val="Прил 4.3. Водн налог"/>
      <sheetName val="Прил 5.1 Регламент"/>
      <sheetName val="Прил 5.2 Трансп.нат 1 кв."/>
      <sheetName val="Прил 5.2 Трансп.нат "/>
      <sheetName val="Прил 5.3 Трансп ав.м."/>
      <sheetName val="Прил 5.3 Трансп пр."/>
      <sheetName val="Прил 5.4 Вспом произв"/>
      <sheetName val="Прил 6.1 Хоз.способ 06 с"/>
      <sheetName val="Прил 6.1 Хоз.способ 06в"/>
      <sheetName val="Прил 6.1 Хоз.способ 06т"/>
      <sheetName val="Прил 6.1 Хоз.способ"/>
      <sheetName val="Прил 6.2 Материалы  с"/>
      <sheetName val="Прил 6.2 Материалы  в"/>
      <sheetName val="Прил 6.2 Материалы от "/>
      <sheetName val="Прил 6.3 Подряд"/>
      <sheetName val="Прил 7.1 Спецодежда "/>
      <sheetName val="Прил 7.2 Химреагент "/>
      <sheetName val="Прил 7.3 Вспом. от сток"/>
      <sheetName val="Прил 7.3 Вспом. от вод"/>
      <sheetName val="Прил 7.3 Вспом. от"/>
      <sheetName val="Прил 8.1 ФОТ ХВО 05"/>
      <sheetName val="Прил 8.1 ФОТ к7 05"/>
      <sheetName val="Прил 8.1 ФОТ АУП 05"/>
      <sheetName val="Прил 8.1 ФОТ ТВКУ 05"/>
      <sheetName val="Прил 8.1 ФОТ газ 05"/>
      <sheetName val="Прил 8.1 ФОТ с05"/>
      <sheetName val="Прил 8.1 ФОТ в05"/>
      <sheetName val="Прил 8.1 ФОТ тРВУ 05"/>
      <sheetName val="Прил 8.1 ФОТ к6 05"/>
      <sheetName val="Прил 8.1 ФОТ к5 05"/>
      <sheetName val="Прил 8.1 ФОТ к4 05"/>
      <sheetName val="Прил 8.1 ФОТ к3 05"/>
      <sheetName val="Прил 8.1 ФОТ к2 05"/>
      <sheetName val="Прил 8.1 ФОТ к1 05"/>
      <sheetName val="Прил 8.1 ФОТ ХОВ 04"/>
      <sheetName val="Прил 8.1 ФОТ газ 04"/>
      <sheetName val="Прил 8.1 ФОТ оч 04"/>
      <sheetName val="Прил 8.1 ФОТ в 04"/>
      <sheetName val="Прил 8.1 ФОТ ТВКУ04"/>
      <sheetName val="Прил 8.1 ФОТ АУП04"/>
      <sheetName val="Прил 8.1 ФОТ т РВУ 04"/>
      <sheetName val="Прил 8.1 ФОТ к7 04"/>
      <sheetName val="Прил 8.1 ФОТ к6 04"/>
      <sheetName val="Прил 8.1 ФОТ к5 04"/>
      <sheetName val="Прил 8.1 ФОТ к4 04"/>
      <sheetName val="Прил 8.1 ФОТ к3 04"/>
      <sheetName val="Прил 8.1 ФОТ к2 04"/>
      <sheetName val="Прил 8.1 ФОТ к1 04"/>
      <sheetName val="Прил 8.2 Дог подряд (2005)"/>
      <sheetName val="Прил 8.2 Дог подряд"/>
      <sheetName val="Прил 8.3 Числ.ХВО"/>
      <sheetName val="Прил 8.3 Числ. авар"/>
      <sheetName val="Прил 8.3 Числ.стоки"/>
      <sheetName val="Прил 8.3 Числ.вода"/>
      <sheetName val="Прил 8.3 Числ.№6"/>
      <sheetName val="Прил 8.3 Числ.№5"/>
      <sheetName val="Прил 8.3 Числ.№4"/>
      <sheetName val="Прил 8.3 Числ. №3"/>
      <sheetName val="Прил 8.3 Числ. №2"/>
      <sheetName val="Прил 8.3 Числ.№1"/>
      <sheetName val="Прил 8.3 Числ.№1 СВОД"/>
      <sheetName val="Прил 9 Эл.энергия (2005)"/>
      <sheetName val="Прил 9 Эл.энергия"/>
      <sheetName val="Прил 10.1 Баланс топл. (н) "/>
      <sheetName val="Прил 10.1 Баланс топл."/>
      <sheetName val="Прил 10.2 Трансп и проч."/>
      <sheetName val="Прил 10.3 Топливо (н)"/>
      <sheetName val="Прил 10.3 Топливо"/>
      <sheetName val="Прил 10.4 Топл.цена"/>
      <sheetName val="Прил 11.1 Имущество "/>
      <sheetName val="Налог на им."/>
      <sheetName val="Прил 11.2 Аренда "/>
      <sheetName val="Прил 12.1. Тов.Тепло 1 кв"/>
      <sheetName val="Прил 12.1. Тов.Тепло 04"/>
      <sheetName val="Прил 12.2 Тов.Вода 1 кв"/>
      <sheetName val="Прил 12.2 Тов.Вода04"/>
      <sheetName val="Прил 12.3 Тов.Стоки 04"/>
      <sheetName val="Прил 12.3 Тов.Стоки 1 кв"/>
      <sheetName val="Прил 12.4 Выручка тепло04"/>
      <sheetName val="Прил 12.4 Выручка тепло 1кв"/>
      <sheetName val="Прил 12.4 Выручка сток 04"/>
      <sheetName val="Прил 12.4 Выручка сток 1кв"/>
      <sheetName val="Прил 12.4 Выручка вода 04"/>
      <sheetName val="Прил 12.4 Выручка вода 1кв"/>
      <sheetName val="Прил 8.1 ФОТ"/>
    </sheetNames>
    <sheetDataSet>
      <sheetData sheetId="0">
        <row r="5">
          <cell r="A5" t="str">
            <v>МУП " ЖКС"</v>
          </cell>
        </row>
        <row r="8">
          <cell r="B8" t="str">
            <v>Александровский район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"/>
      <sheetName val="Прил 2.1 ОХР 1 кв."/>
      <sheetName val="Прил 2.1 ОХР"/>
      <sheetName val="Прил 2.2 ОХР (1КВ)"/>
      <sheetName val="Прил 2.2 ОХР"/>
      <sheetName val="Прил 2.3 ОХР"/>
      <sheetName val="Прил 2.4 Проценты"/>
      <sheetName val="Прил 2.5 Усл.банков"/>
      <sheetName val="Прил 3.1 Проч статьи"/>
      <sheetName val="Прил 3.2 Сбыт"/>
      <sheetName val="Прил 3.3 Прочие"/>
      <sheetName val="Прил 4.1 Плата за воду"/>
      <sheetName val="Прил 4.2 База Водн."/>
      <sheetName val="Прил 4.3. Водн налог"/>
      <sheetName val="Прил 5.1 Регламент"/>
      <sheetName val="Прил 5.2 Трансп.нат"/>
      <sheetName val="Прил 5.3 Трансп"/>
      <sheetName val="Прил 5.4 Вспом произв"/>
      <sheetName val="Прил 6.1 Хоз.способ"/>
      <sheetName val="Прил 6.2 Материалы"/>
      <sheetName val="Прил 6.3 Подряд"/>
      <sheetName val="Прил 7.1 Спецодежда (2)"/>
      <sheetName val="Прил 7.1 Спецодежда"/>
      <sheetName val="Прил 7.2 Химреагент"/>
      <sheetName val="Прил 7.3 Вспом."/>
      <sheetName val="Прил 8.1 ФОТ"/>
      <sheetName val="Прил 8.2 Дог подряд (2005)"/>
      <sheetName val="Прил 8.2 Дог подряд"/>
      <sheetName val="Прил 8.3 Числ. (2)"/>
      <sheetName val="Прил 8.3 Числ.ХВО"/>
      <sheetName val="Прил 8.3 Числ. авар"/>
      <sheetName val="Прил 8.3 Числ.стоки"/>
      <sheetName val="Прил 8.3 Числ.вода"/>
      <sheetName val="Прил 8.3 Числ.№6"/>
      <sheetName val="Прил 8.3 Числ.№5"/>
      <sheetName val="Прил 8.3 Числ.№4"/>
      <sheetName val="Прил 8.3 Числ. №3"/>
      <sheetName val="Прил 8.3 Числ. №2"/>
      <sheetName val="Прил 8.3 Числ.№1"/>
      <sheetName val="Прил 9 Эл.энергия (2005)"/>
      <sheetName val="Прил 9 Эл.энергия"/>
      <sheetName val="Прил 10.1 Баланс топл. (н)"/>
      <sheetName val="Прил 10.1 Баланс топл."/>
      <sheetName val="Прил 10.2 Трансп и проч."/>
      <sheetName val="Прил 10.3 Топливо (н)"/>
      <sheetName val="Прил 10.3 Топливо"/>
      <sheetName val="Прил 10.4 Топл.цена"/>
      <sheetName val="Прил 11.1 Имущество"/>
      <sheetName val="Прил 11.2 Аренда"/>
      <sheetName val="Прил 12.1. Тов.Тепло"/>
      <sheetName val="Прил 12.2 Тов.Вода"/>
      <sheetName val="Прил 12.3 Тов.Стоки"/>
      <sheetName val="Прил 12.4 Выручка"/>
    </sheetNames>
    <sheetDataSet>
      <sheetData sheetId="0">
        <row r="8">
          <cell r="B8" t="str">
            <v>Александровский район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"/>
      <sheetName val="Прил 2.1 ОХР 1 кв."/>
      <sheetName val="Прил 2.1 ОХР"/>
      <sheetName val="Прил 2.2 ОХР (1КВ)"/>
      <sheetName val="Прил 2.2 ОХР"/>
      <sheetName val="Прил 2.3 ОХР"/>
      <sheetName val="Прил 2.4 Проценты"/>
      <sheetName val="Прил 2.5 Усл.банков"/>
      <sheetName val="Прил 3.1 Проч статьи"/>
      <sheetName val="Прил 3.2 Сбыт"/>
      <sheetName val="Прил 3.3 Прочие"/>
      <sheetName val="Прил 4.1 Плата за воду"/>
      <sheetName val="Прил 4.2 База Водн."/>
      <sheetName val="Прил 4.3. Водн налог"/>
      <sheetName val="Прил 5.1 Регламент"/>
      <sheetName val="Прил 5.2 Трансп.нат"/>
      <sheetName val="Прил 5.3 Трансп"/>
      <sheetName val="Прил 5.4 Вспом произв"/>
      <sheetName val="Прил 6.1 Хоз.способ"/>
      <sheetName val="Прил 6.2 Материалы"/>
      <sheetName val="Прил 6.3 Подряд"/>
      <sheetName val="Прил 7.1 Спецодежда (2)"/>
      <sheetName val="Прил 7.1 Спецодежда"/>
      <sheetName val="Прил 7.2 Химреагент"/>
      <sheetName val="Прил 7.3 Вспом."/>
      <sheetName val="Прил 8.1 ФОТ"/>
      <sheetName val="Прил 8.2 Дог подряд (2005)"/>
      <sheetName val="Прил 8.2 Дог подряд"/>
      <sheetName val="Прил 8.3 Числ. (2)"/>
      <sheetName val="Прил 8.3 Числ.ХВО"/>
      <sheetName val="Прил 8.3 Числ. авар"/>
      <sheetName val="Прил 8.3 Числ.стоки"/>
      <sheetName val="Прил 8.3 Числ.вода"/>
      <sheetName val="Прил 8.3 Числ.№6"/>
      <sheetName val="Прил 8.3 Числ.№5"/>
      <sheetName val="Прил 8.3 Числ.№4"/>
      <sheetName val="Прил 8.3 Числ. №3"/>
      <sheetName val="Прил 8.3 Числ. №2"/>
      <sheetName val="Прил 8.3 Числ.№1"/>
      <sheetName val="Прил 9 Эл.энергия (2005)"/>
      <sheetName val="Прил 9 Эл.энергия"/>
      <sheetName val="Прил 10.1 Баланс топл. (н)"/>
      <sheetName val="Прил 10.1 Баланс топл."/>
      <sheetName val="Прил 10.2 Трансп и проч."/>
      <sheetName val="Прил 10.3 Топливо (н)"/>
      <sheetName val="Прил 10.3 Топливо"/>
      <sheetName val="Прил 10.4 Топл.цена"/>
      <sheetName val="Прил 11.1 Имущество"/>
      <sheetName val="Прил 11.2 Аренда"/>
      <sheetName val="Прил 12.1. Тов.Тепло"/>
      <sheetName val="Прил 12.2 Тов.Вода"/>
      <sheetName val="Прил 12.3 Тов.Стоки"/>
      <sheetName val="Прил 12.4 Выручка"/>
    </sheetNames>
    <sheetDataSet>
      <sheetData sheetId="0">
        <row r="8">
          <cell r="B8" t="str">
            <v>Александровский район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"/>
      <sheetName val="Прил 2.1 ОХР "/>
      <sheetName val="Прил 2.2 ОХР"/>
      <sheetName val="АУП"/>
      <sheetName val="АТУ"/>
      <sheetName val="сод зд"/>
      <sheetName val="Прил 2.3 Прочие (вод)"/>
      <sheetName val="Прил 2.3 Прочие (кан)"/>
      <sheetName val="Прил 2.3 Прочие (ас)"/>
      <sheetName val="Прил 2.3 Прочие (пол)"/>
      <sheetName val="Прил 2.3 Прочие (мус)"/>
      <sheetName val="Прил 2.3 Прочие (сж)"/>
      <sheetName val="Прил 5.3 Вспом произв"/>
      <sheetName val="ФЗП РММ"/>
      <sheetName val="сод зд (РММ)"/>
      <sheetName val="Прил 2.3 ОЦР Твку"/>
      <sheetName val="ФЗП ТВКУ"/>
      <sheetName val="сод зд (ТВКУ)"/>
      <sheetName val="Прил 2.2 ОЦР  (АТУ)"/>
      <sheetName val="Прил 2.3 ОЦР (АТУ)"/>
      <sheetName val="АТУ (ФЗП)"/>
      <sheetName val="сод зд (АТУ)"/>
      <sheetName val="Прил 2.2 ОХР  (ЖЭУ)"/>
      <sheetName val="Прил 2.3 ОЦР (ЖЭУ)"/>
      <sheetName val="ФЗП ЖЭУ"/>
      <sheetName val="Лист2"/>
      <sheetName val="Сод. зд (ЖЭУ)"/>
      <sheetName val="Сод. зд ( вод)"/>
      <sheetName val="Прил 4.1 База Водн."/>
      <sheetName val="Прил 4.2. Водн налог"/>
      <sheetName val="Прил 5.2 Трансп"/>
      <sheetName val="ФЗП (ПР.Т)"/>
      <sheetName val="ГСМ ( пр)"/>
      <sheetName val="аренда(пр)"/>
      <sheetName val="Прил 5.2 Ав маш"/>
      <sheetName val="ФЗП (ав)"/>
      <sheetName val="ГСМ (ав)"/>
      <sheetName val="аренда (ав)"/>
      <sheetName val="Прил 2.3 Ав. бриг"/>
      <sheetName val="ФЗП (АБ)"/>
      <sheetName val="Прил 5.3 Трансп (ДТ)"/>
      <sheetName val="ФЗП (ДТ)"/>
      <sheetName val="ГСМ (дт)"/>
      <sheetName val="Цена на топливо"/>
      <sheetName val="Лист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"/>
      <sheetName val="Прил 2.1 ОХР 1 кв."/>
      <sheetName val="Прил 2.1 ОХР"/>
      <sheetName val="Прил 2.2 ОХР (1КВ)"/>
      <sheetName val="Прил 2.2 ОХР"/>
      <sheetName val="Прил 2.3 ОХР"/>
      <sheetName val="Прил 2.4 Проценты"/>
      <sheetName val="Прил 2.5 Усл.банков"/>
      <sheetName val="Прил 3.1 Проч статьи"/>
      <sheetName val="Прил 3.2 Сбыт"/>
      <sheetName val="Прил 3.3 Прочие"/>
      <sheetName val="Прил 4.1 Плата за воду"/>
      <sheetName val="Прил 4.2 База Водн."/>
      <sheetName val="Прил 4.3. Водн налог"/>
      <sheetName val="Прил 5.1 Регламент"/>
      <sheetName val="Прил 5.2 Трансп.нат"/>
      <sheetName val="Прил 5.3 Трансп"/>
      <sheetName val="Прил 5.4 Вспом произв"/>
      <sheetName val="Прил 6.1 Хоз.способ"/>
      <sheetName val="Прил 6.2 Материалы"/>
      <sheetName val="Прил 6.3 Подряд"/>
      <sheetName val="Прил 7.1 Спецодежда (2)"/>
      <sheetName val="Прил 7.1 Спецодежда"/>
      <sheetName val="Прил 7.2 Химреагент"/>
      <sheetName val="Прил 7.3 Вспом."/>
      <sheetName val="Прил 8.1 ФОТ"/>
      <sheetName val="Прил 8.2 Дог подряд (2005)"/>
      <sheetName val="Прил 8.2 Дог подряд"/>
      <sheetName val="Прил 8.3 Числ. (2)"/>
      <sheetName val="Прил 8.3 Числ.ХВО"/>
      <sheetName val="Прил 8.3 Числ. авар"/>
      <sheetName val="Прил 8.3 Числ.стоки"/>
      <sheetName val="Прил 8.3 Числ.вода"/>
      <sheetName val="Прил 8.3 Числ.№6"/>
      <sheetName val="Прил 8.3 Числ.№5"/>
      <sheetName val="Прил 8.3 Числ.№4"/>
      <sheetName val="Прил 8.3 Числ. №3"/>
      <sheetName val="Прил 8.3 Числ. №2"/>
      <sheetName val="Прил 8.3 Числ.№1"/>
      <sheetName val="Прил 9 Эл.энергия (2005)"/>
      <sheetName val="Прил 9 Эл.энергия"/>
      <sheetName val="Прил 10.1 Баланс топл. (н)"/>
      <sheetName val="Прил 10.1 Баланс топл."/>
      <sheetName val="Прил 10.2 Трансп и проч."/>
      <sheetName val="Прил 10.3 Топливо (н)"/>
      <sheetName val="Прил 10.3 Топливо"/>
      <sheetName val="Прил 10.4 Топл.цена"/>
      <sheetName val="Прил 11.1 Имущество"/>
      <sheetName val="Прил 11.2 Аренда"/>
      <sheetName val="Прил 12.1. Тов.Тепло"/>
      <sheetName val="Прил 12.2 Тов.Вода"/>
      <sheetName val="Прил 12.3 Тов.Стоки"/>
      <sheetName val="Прил 12.4 Выручка"/>
    </sheetNames>
    <sheetDataSet>
      <sheetData sheetId="0">
        <row r="8">
          <cell r="B8" t="str">
            <v>Александровский район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view="pageBreakPreview" zoomScale="60" zoomScalePageLayoutView="0" workbookViewId="0" topLeftCell="A1">
      <selection activeCell="D24" sqref="D24"/>
    </sheetView>
  </sheetViews>
  <sheetFormatPr defaultColWidth="11.375" defaultRowHeight="12.75"/>
  <cols>
    <col min="1" max="1" width="8.375" style="163" customWidth="1"/>
    <col min="2" max="2" width="49.875" style="163" customWidth="1"/>
    <col min="3" max="3" width="19.75390625" style="171" hidden="1" customWidth="1"/>
    <col min="4" max="4" width="14.375" style="171" customWidth="1"/>
    <col min="5" max="5" width="19.25390625" style="171" customWidth="1"/>
    <col min="6" max="6" width="26.375" style="171" customWidth="1"/>
    <col min="7" max="8" width="14.00390625" style="1" bestFit="1" customWidth="1"/>
    <col min="9" max="9" width="11.625" style="1" bestFit="1" customWidth="1"/>
    <col min="10" max="10" width="15.125" style="1" bestFit="1" customWidth="1"/>
    <col min="11" max="11" width="11.375" style="1" customWidth="1"/>
    <col min="12" max="12" width="11.75390625" style="1" bestFit="1" customWidth="1"/>
    <col min="13" max="16384" width="11.375" style="1" customWidth="1"/>
  </cols>
  <sheetData>
    <row r="1" spans="1:6" ht="44.25" customHeight="1">
      <c r="A1" s="275" t="s">
        <v>97</v>
      </c>
      <c r="B1" s="275"/>
      <c r="C1" s="275"/>
      <c r="D1" s="275"/>
      <c r="E1" s="275"/>
      <c r="F1" s="275"/>
    </row>
    <row r="2" spans="1:5" ht="18.75" customHeight="1">
      <c r="A2" s="105" t="s">
        <v>252</v>
      </c>
      <c r="B2" s="105"/>
      <c r="C2" s="105"/>
      <c r="D2" s="105"/>
      <c r="E2" s="106"/>
    </row>
    <row r="3" spans="1:6" ht="25.5" customHeight="1" thickBot="1">
      <c r="A3" s="106"/>
      <c r="B3" s="106"/>
      <c r="C3" s="106"/>
      <c r="D3" s="106"/>
      <c r="E3" s="106"/>
      <c r="F3" s="106"/>
    </row>
    <row r="4" spans="1:6" ht="16.5" customHeight="1" thickBot="1">
      <c r="A4" s="273" t="s">
        <v>22</v>
      </c>
      <c r="B4" s="273" t="s">
        <v>23</v>
      </c>
      <c r="C4" s="107"/>
      <c r="D4" s="280" t="s">
        <v>96</v>
      </c>
      <c r="E4" s="281"/>
      <c r="F4" s="281"/>
    </row>
    <row r="5" spans="1:6" ht="76.5" customHeight="1" thickBot="1">
      <c r="A5" s="274"/>
      <c r="B5" s="274"/>
      <c r="C5" s="108" t="s">
        <v>72</v>
      </c>
      <c r="D5" s="109" t="s">
        <v>254</v>
      </c>
      <c r="E5" s="110" t="s">
        <v>255</v>
      </c>
      <c r="F5" s="111" t="s">
        <v>312</v>
      </c>
    </row>
    <row r="6" spans="1:6" s="2" customFormat="1" ht="15.75">
      <c r="A6" s="112">
        <v>1</v>
      </c>
      <c r="B6" s="113">
        <v>2</v>
      </c>
      <c r="C6" s="112">
        <v>3</v>
      </c>
      <c r="D6" s="113">
        <v>4</v>
      </c>
      <c r="E6" s="114">
        <v>5</v>
      </c>
      <c r="F6" s="115">
        <v>6</v>
      </c>
    </row>
    <row r="7" spans="1:8" ht="16.5">
      <c r="A7" s="6" t="s">
        <v>24</v>
      </c>
      <c r="B7" s="116" t="s">
        <v>73</v>
      </c>
      <c r="C7" s="117">
        <v>162864.13</v>
      </c>
      <c r="D7" s="118"/>
      <c r="E7" s="45"/>
      <c r="F7" s="119">
        <v>0</v>
      </c>
      <c r="G7" s="52" t="e">
        <f>#REF!+#REF!+#REF!+#REF!+#REF!+#REF!</f>
        <v>#REF!</v>
      </c>
      <c r="H7" s="52" t="e">
        <f aca="true" t="shared" si="0" ref="H7:H27">G7-F7</f>
        <v>#REF!</v>
      </c>
    </row>
    <row r="8" spans="1:8" ht="16.5">
      <c r="A8" s="6" t="s">
        <v>25</v>
      </c>
      <c r="B8" s="116" t="s">
        <v>26</v>
      </c>
      <c r="C8" s="117"/>
      <c r="D8" s="120"/>
      <c r="E8" s="45"/>
      <c r="F8" s="119">
        <v>0</v>
      </c>
      <c r="G8" s="52" t="e">
        <f>#REF!+#REF!+#REF!+#REF!+#REF!+#REF!</f>
        <v>#REF!</v>
      </c>
      <c r="H8" s="52" t="e">
        <f t="shared" si="0"/>
        <v>#REF!</v>
      </c>
    </row>
    <row r="9" spans="1:8" ht="33">
      <c r="A9" s="6" t="s">
        <v>27</v>
      </c>
      <c r="B9" s="116" t="s">
        <v>28</v>
      </c>
      <c r="C9" s="117">
        <v>528079.53</v>
      </c>
      <c r="D9" s="120"/>
      <c r="E9" s="45"/>
      <c r="F9" s="119">
        <f>сант!I5+элек!I5</f>
        <v>355419.1872</v>
      </c>
      <c r="G9" s="52" t="e">
        <f>#REF!+#REF!+#REF!+#REF!+#REF!+#REF!</f>
        <v>#REF!</v>
      </c>
      <c r="H9" s="52" t="e">
        <f t="shared" si="0"/>
        <v>#REF!</v>
      </c>
    </row>
    <row r="10" spans="1:8" ht="16.5">
      <c r="A10" s="6" t="s">
        <v>29</v>
      </c>
      <c r="B10" s="121" t="s">
        <v>74</v>
      </c>
      <c r="C10" s="117"/>
      <c r="D10" s="120"/>
      <c r="E10" s="45"/>
      <c r="F10" s="119"/>
      <c r="G10" s="52" t="e">
        <f>#REF!+#REF!+#REF!+#REF!+#REF!+#REF!</f>
        <v>#REF!</v>
      </c>
      <c r="H10" s="52" t="e">
        <f t="shared" si="0"/>
        <v>#REF!</v>
      </c>
    </row>
    <row r="11" spans="1:8" ht="16.5">
      <c r="A11" s="6" t="s">
        <v>30</v>
      </c>
      <c r="B11" s="116" t="s">
        <v>31</v>
      </c>
      <c r="C11" s="117">
        <f>70994.46+14743.42+58364.12+15105.08+3148.74+20280.71</f>
        <v>182636.52999999997</v>
      </c>
      <c r="D11" s="120"/>
      <c r="E11" s="45"/>
      <c r="F11" s="119">
        <f>F9*0.34</f>
        <v>120842.523648</v>
      </c>
      <c r="G11" s="52" t="e">
        <f>#REF!+#REF!+#REF!+#REF!+#REF!+#REF!</f>
        <v>#REF!</v>
      </c>
      <c r="H11" s="52" t="e">
        <f t="shared" si="0"/>
        <v>#REF!</v>
      </c>
    </row>
    <row r="12" spans="1:8" ht="16.5">
      <c r="A12" s="6" t="s">
        <v>32</v>
      </c>
      <c r="B12" s="116" t="s">
        <v>33</v>
      </c>
      <c r="C12" s="117">
        <v>1530.74</v>
      </c>
      <c r="D12" s="120"/>
      <c r="E12" s="45"/>
      <c r="F12" s="119">
        <f>F9*0.9/100</f>
        <v>3198.7726847999998</v>
      </c>
      <c r="G12" s="52" t="e">
        <f>#REF!+#REF!+#REF!+#REF!+#REF!+#REF!</f>
        <v>#REF!</v>
      </c>
      <c r="H12" s="52" t="e">
        <f t="shared" si="0"/>
        <v>#REF!</v>
      </c>
    </row>
    <row r="13" spans="1:8" ht="16.5">
      <c r="A13" s="6" t="s">
        <v>34</v>
      </c>
      <c r="B13" s="121" t="s">
        <v>35</v>
      </c>
      <c r="C13" s="122">
        <v>0.3</v>
      </c>
      <c r="D13" s="15"/>
      <c r="E13" s="46"/>
      <c r="F13" s="222">
        <v>0.9</v>
      </c>
      <c r="G13" s="52" t="e">
        <f>#REF!+#REF!+#REF!+#REF!+#REF!+#REF!</f>
        <v>#REF!</v>
      </c>
      <c r="H13" s="52" t="e">
        <f t="shared" si="0"/>
        <v>#REF!</v>
      </c>
    </row>
    <row r="14" spans="1:8" ht="16.5">
      <c r="A14" s="6" t="s">
        <v>36</v>
      </c>
      <c r="B14" s="116" t="s">
        <v>37</v>
      </c>
      <c r="C14" s="117"/>
      <c r="D14" s="14"/>
      <c r="E14" s="45"/>
      <c r="F14" s="119">
        <v>0</v>
      </c>
      <c r="G14" s="52" t="e">
        <f>#REF!+#REF!+#REF!+#REF!+#REF!+#REF!</f>
        <v>#REF!</v>
      </c>
      <c r="H14" s="52" t="e">
        <f t="shared" si="0"/>
        <v>#REF!</v>
      </c>
    </row>
    <row r="15" spans="1:8" ht="33">
      <c r="A15" s="6" t="s">
        <v>38</v>
      </c>
      <c r="B15" s="116" t="s">
        <v>75</v>
      </c>
      <c r="C15" s="117"/>
      <c r="D15" s="14"/>
      <c r="E15" s="45"/>
      <c r="F15" s="119">
        <v>0</v>
      </c>
      <c r="G15" s="52" t="e">
        <f>#REF!+#REF!+#REF!+#REF!+#REF!+#REF!</f>
        <v>#REF!</v>
      </c>
      <c r="H15" s="52" t="e">
        <f t="shared" si="0"/>
        <v>#REF!</v>
      </c>
    </row>
    <row r="16" spans="1:8" ht="16.5">
      <c r="A16" s="6" t="s">
        <v>39</v>
      </c>
      <c r="B16" s="116" t="s">
        <v>98</v>
      </c>
      <c r="C16" s="117">
        <f>C17+C18</f>
        <v>87688.62</v>
      </c>
      <c r="D16" s="14"/>
      <c r="E16" s="45"/>
      <c r="F16" s="119">
        <f>F17+F18</f>
        <v>35200</v>
      </c>
      <c r="G16" s="52" t="e">
        <f>#REF!+#REF!+#REF!+#REF!+#REF!+#REF!</f>
        <v>#REF!</v>
      </c>
      <c r="H16" s="52" t="e">
        <f t="shared" si="0"/>
        <v>#REF!</v>
      </c>
    </row>
    <row r="17" spans="1:8" ht="33">
      <c r="A17" s="8" t="s">
        <v>40</v>
      </c>
      <c r="B17" s="121" t="s">
        <v>100</v>
      </c>
      <c r="C17" s="117"/>
      <c r="D17" s="120"/>
      <c r="E17" s="45"/>
      <c r="F17" s="119"/>
      <c r="G17" s="52" t="e">
        <f>#REF!+#REF!+#REF!+#REF!+#REF!+#REF!</f>
        <v>#REF!</v>
      </c>
      <c r="H17" s="52" t="e">
        <f t="shared" si="0"/>
        <v>#REF!</v>
      </c>
    </row>
    <row r="18" spans="1:8" ht="16.5">
      <c r="A18" s="8" t="s">
        <v>41</v>
      </c>
      <c r="B18" s="121" t="s">
        <v>99</v>
      </c>
      <c r="C18" s="117">
        <v>87688.62</v>
      </c>
      <c r="D18" s="120"/>
      <c r="E18" s="45"/>
      <c r="F18" s="119">
        <f>сант!I7+элек!I7</f>
        <v>35200</v>
      </c>
      <c r="G18" s="52" t="e">
        <f>#REF!+#REF!+#REF!+#REF!+#REF!+#REF!</f>
        <v>#REF!</v>
      </c>
      <c r="H18" s="52" t="e">
        <f t="shared" si="0"/>
        <v>#REF!</v>
      </c>
    </row>
    <row r="19" spans="1:9" ht="16.5">
      <c r="A19" s="6" t="s">
        <v>42</v>
      </c>
      <c r="B19" s="116" t="s">
        <v>43</v>
      </c>
      <c r="C19" s="117">
        <v>17977.24</v>
      </c>
      <c r="D19" s="14"/>
      <c r="E19" s="45"/>
      <c r="F19" s="119">
        <f>авар!K4</f>
        <v>35205.7056</v>
      </c>
      <c r="G19" s="52" t="e">
        <f>#REF!+#REF!+#REF!+#REF!+#REF!+#REF!</f>
        <v>#REF!</v>
      </c>
      <c r="H19" s="52" t="e">
        <f t="shared" si="0"/>
        <v>#REF!</v>
      </c>
      <c r="I19" s="1" t="e">
        <f>E18/E29*9700</f>
        <v>#DIV/0!</v>
      </c>
    </row>
    <row r="20" spans="1:8" ht="16.5">
      <c r="A20" s="6" t="s">
        <v>44</v>
      </c>
      <c r="B20" s="116" t="s">
        <v>45</v>
      </c>
      <c r="C20" s="117">
        <f>SUM(C21:C27)</f>
        <v>488114.79</v>
      </c>
      <c r="D20" s="14"/>
      <c r="E20" s="119"/>
      <c r="F20" s="119">
        <f>SUM(F21:F27)</f>
        <v>38714.208</v>
      </c>
      <c r="G20" s="52" t="e">
        <f>#REF!+#REF!+#REF!+#REF!+#REF!+#REF!</f>
        <v>#REF!</v>
      </c>
      <c r="H20" s="52" t="e">
        <f t="shared" si="0"/>
        <v>#REF!</v>
      </c>
    </row>
    <row r="21" spans="1:8" s="3" customFormat="1" ht="33">
      <c r="A21" s="124" t="s">
        <v>46</v>
      </c>
      <c r="B21" s="121" t="s">
        <v>101</v>
      </c>
      <c r="C21" s="125">
        <v>325092.41</v>
      </c>
      <c r="D21" s="16"/>
      <c r="E21" s="47"/>
      <c r="F21" s="119"/>
      <c r="G21" s="52" t="e">
        <f>#REF!+#REF!+#REF!+#REF!+#REF!+#REF!</f>
        <v>#REF!</v>
      </c>
      <c r="H21" s="52" t="e">
        <f t="shared" si="0"/>
        <v>#REF!</v>
      </c>
    </row>
    <row r="22" spans="1:8" s="4" customFormat="1" ht="16.5">
      <c r="A22" s="5" t="s">
        <v>47</v>
      </c>
      <c r="B22" s="126" t="s">
        <v>124</v>
      </c>
      <c r="C22" s="127"/>
      <c r="D22" s="17"/>
      <c r="E22" s="47"/>
      <c r="F22" s="128"/>
      <c r="G22" s="52" t="e">
        <f>#REF!+#REF!+#REF!+#REF!+#REF!+#REF!</f>
        <v>#REF!</v>
      </c>
      <c r="H22" s="52" t="e">
        <f t="shared" si="0"/>
        <v>#REF!</v>
      </c>
    </row>
    <row r="23" spans="1:8" s="4" customFormat="1" ht="16.5">
      <c r="A23" s="5" t="s">
        <v>48</v>
      </c>
      <c r="B23" s="126" t="s">
        <v>77</v>
      </c>
      <c r="C23" s="127">
        <v>72</v>
      </c>
      <c r="D23" s="17"/>
      <c r="E23" s="47"/>
      <c r="F23" s="128"/>
      <c r="G23" s="52" t="e">
        <f>#REF!+#REF!+#REF!+#REF!+#REF!+#REF!</f>
        <v>#REF!</v>
      </c>
      <c r="H23" s="52" t="e">
        <f t="shared" si="0"/>
        <v>#REF!</v>
      </c>
    </row>
    <row r="24" spans="1:8" s="4" customFormat="1" ht="16.5">
      <c r="A24" s="5" t="s">
        <v>50</v>
      </c>
      <c r="B24" s="126" t="s">
        <v>49</v>
      </c>
      <c r="C24" s="127"/>
      <c r="D24" s="17"/>
      <c r="E24" s="47"/>
      <c r="F24" s="128"/>
      <c r="G24" s="52" t="e">
        <f>#REF!+#REF!+#REF!+#REF!+#REF!+#REF!</f>
        <v>#REF!</v>
      </c>
      <c r="H24" s="52" t="e">
        <f t="shared" si="0"/>
        <v>#REF!</v>
      </c>
    </row>
    <row r="25" spans="1:8" s="4" customFormat="1" ht="16.5">
      <c r="A25" s="5" t="s">
        <v>52</v>
      </c>
      <c r="B25" s="126" t="s">
        <v>51</v>
      </c>
      <c r="C25" s="127"/>
      <c r="D25" s="17"/>
      <c r="E25" s="47"/>
      <c r="F25" s="128"/>
      <c r="G25" s="52" t="e">
        <f>#REF!+#REF!+#REF!+#REF!+#REF!+#REF!</f>
        <v>#REF!</v>
      </c>
      <c r="H25" s="52" t="e">
        <f t="shared" si="0"/>
        <v>#REF!</v>
      </c>
    </row>
    <row r="26" spans="1:8" s="4" customFormat="1" ht="16.5">
      <c r="A26" s="5" t="s">
        <v>78</v>
      </c>
      <c r="B26" s="126" t="s">
        <v>125</v>
      </c>
      <c r="C26" s="127"/>
      <c r="D26" s="17"/>
      <c r="E26" s="47"/>
      <c r="F26" s="128">
        <f>паспотист!I3</f>
        <v>38714.208</v>
      </c>
      <c r="G26" s="52" t="e">
        <f>#REF!+#REF!+#REF!+#REF!+#REF!+#REF!</f>
        <v>#REF!</v>
      </c>
      <c r="H26" s="52" t="e">
        <f t="shared" si="0"/>
        <v>#REF!</v>
      </c>
    </row>
    <row r="27" spans="1:8" s="4" customFormat="1" ht="16.5">
      <c r="A27" s="5" t="s">
        <v>79</v>
      </c>
      <c r="B27" s="126" t="s">
        <v>80</v>
      </c>
      <c r="C27" s="127">
        <f>82069.13+80881.25</f>
        <v>162950.38</v>
      </c>
      <c r="D27" s="17"/>
      <c r="E27" s="47"/>
      <c r="F27" s="119"/>
      <c r="G27" s="52" t="e">
        <f>#REF!+#REF!+#REF!+#REF!+#REF!+#REF!</f>
        <v>#REF!</v>
      </c>
      <c r="H27" s="52" t="e">
        <f t="shared" si="0"/>
        <v>#REF!</v>
      </c>
    </row>
    <row r="28" spans="1:8" ht="16.5">
      <c r="A28" s="129" t="s">
        <v>54</v>
      </c>
      <c r="B28" s="130" t="s">
        <v>53</v>
      </c>
      <c r="C28" s="131">
        <f>C20+C19+C16+C15+C14+C12+C11+C9+C8+C7</f>
        <v>1468891.58</v>
      </c>
      <c r="D28" s="18"/>
      <c r="E28" s="50"/>
      <c r="F28" s="132">
        <f>F7+F8+F9+F11+F12+F16+F19+F20</f>
        <v>588580.3971328</v>
      </c>
      <c r="G28" s="52" t="e">
        <f>#REF!+#REF!+#REF!+#REF!+#REF!+#REF!</f>
        <v>#REF!</v>
      </c>
      <c r="H28" s="52" t="e">
        <f>G28-#REF!</f>
        <v>#REF!</v>
      </c>
    </row>
    <row r="29" spans="1:8" ht="16.5">
      <c r="A29" s="133" t="s">
        <v>55</v>
      </c>
      <c r="B29" s="134" t="s">
        <v>89</v>
      </c>
      <c r="C29" s="135" t="e">
        <f>#REF!+#REF!</f>
        <v>#REF!</v>
      </c>
      <c r="D29" s="19"/>
      <c r="E29" s="48"/>
      <c r="F29" s="136">
        <f>сант!I46</f>
        <v>12408.4</v>
      </c>
      <c r="G29" s="52" t="e">
        <f>#REF!+#REF!+#REF!+#REF!+#REF!+#REF!</f>
        <v>#REF!</v>
      </c>
      <c r="H29" s="52" t="e">
        <f aca="true" t="shared" si="1" ref="H29:H41">G29-F29</f>
        <v>#REF!</v>
      </c>
    </row>
    <row r="30" spans="1:8" s="7" customFormat="1" ht="33">
      <c r="A30" s="137" t="s">
        <v>56</v>
      </c>
      <c r="B30" s="138" t="s">
        <v>90</v>
      </c>
      <c r="C30" s="139" t="e">
        <f>C28/(C29*12)</f>
        <v>#REF!</v>
      </c>
      <c r="D30" s="20"/>
      <c r="E30" s="49"/>
      <c r="F30" s="20">
        <f>F28/(F29*12)</f>
        <v>3.952835694185659</v>
      </c>
      <c r="G30" s="52" t="e">
        <f>#REF!+#REF!+#REF!+#REF!+#REF!+#REF!</f>
        <v>#REF!</v>
      </c>
      <c r="H30" s="52" t="e">
        <f t="shared" si="1"/>
        <v>#REF!</v>
      </c>
    </row>
    <row r="31" spans="1:8" ht="16.5">
      <c r="A31" s="140" t="s">
        <v>62</v>
      </c>
      <c r="B31" s="141" t="s">
        <v>57</v>
      </c>
      <c r="C31" s="131">
        <f>C32+C35</f>
        <v>28001.83</v>
      </c>
      <c r="D31" s="18"/>
      <c r="E31" s="50"/>
      <c r="F31" s="136"/>
      <c r="G31" s="52" t="e">
        <f>#REF!+#REF!+#REF!+#REF!+#REF!+#REF!</f>
        <v>#REF!</v>
      </c>
      <c r="H31" s="52" t="e">
        <f t="shared" si="1"/>
        <v>#REF!</v>
      </c>
    </row>
    <row r="32" spans="1:8" ht="16.5">
      <c r="A32" s="142" t="s">
        <v>81</v>
      </c>
      <c r="B32" s="143" t="s">
        <v>58</v>
      </c>
      <c r="C32" s="131">
        <v>28001.83</v>
      </c>
      <c r="D32" s="18"/>
      <c r="E32" s="45"/>
      <c r="F32" s="136">
        <f>'Прил 2.3 ОЦР '!G28</f>
        <v>1033416.5255370741</v>
      </c>
      <c r="G32" s="52" t="e">
        <f>#REF!+#REF!+#REF!+#REF!+#REF!+#REF!</f>
        <v>#REF!</v>
      </c>
      <c r="H32" s="52" t="e">
        <f t="shared" si="1"/>
        <v>#REF!</v>
      </c>
    </row>
    <row r="33" spans="1:8" ht="16.5">
      <c r="A33" s="142" t="s">
        <v>82</v>
      </c>
      <c r="B33" s="126" t="s">
        <v>59</v>
      </c>
      <c r="C33" s="131"/>
      <c r="D33" s="18"/>
      <c r="E33" s="45"/>
      <c r="F33" s="136">
        <f>F32*0.667*1.349</f>
        <v>929850.6215973252</v>
      </c>
      <c r="G33" s="52" t="e">
        <f>#REF!+#REF!+#REF!+#REF!+#REF!+#REF!</f>
        <v>#REF!</v>
      </c>
      <c r="H33" s="52" t="e">
        <f t="shared" si="1"/>
        <v>#REF!</v>
      </c>
    </row>
    <row r="34" spans="1:12" ht="33">
      <c r="A34" s="144" t="s">
        <v>83</v>
      </c>
      <c r="B34" s="126" t="s">
        <v>60</v>
      </c>
      <c r="C34" s="131"/>
      <c r="D34" s="18"/>
      <c r="E34" s="45"/>
      <c r="F34" s="136">
        <f>F32-F33</f>
        <v>103565.90393974888</v>
      </c>
      <c r="G34" s="52" t="e">
        <f>#REF!+#REF!+#REF!+#REF!+#REF!+#REF!</f>
        <v>#REF!</v>
      </c>
      <c r="H34" s="52" t="e">
        <f t="shared" si="1"/>
        <v>#REF!</v>
      </c>
      <c r="L34" s="1">
        <v>90620</v>
      </c>
    </row>
    <row r="35" spans="1:12" ht="16.5">
      <c r="A35" s="142" t="s">
        <v>84</v>
      </c>
      <c r="B35" s="143" t="s">
        <v>61</v>
      </c>
      <c r="C35" s="131"/>
      <c r="D35" s="18"/>
      <c r="E35" s="45"/>
      <c r="F35" s="136"/>
      <c r="G35" s="52" t="e">
        <f>#REF!+#REF!+#REF!+#REF!+#REF!+#REF!</f>
        <v>#REF!</v>
      </c>
      <c r="H35" s="52" t="e">
        <f t="shared" si="1"/>
        <v>#REF!</v>
      </c>
      <c r="L35" s="1">
        <f>L34*12</f>
        <v>1087440</v>
      </c>
    </row>
    <row r="36" spans="1:12" ht="33">
      <c r="A36" s="140" t="s">
        <v>63</v>
      </c>
      <c r="B36" s="141" t="s">
        <v>91</v>
      </c>
      <c r="C36" s="131" t="e">
        <f>C31+#REF!</f>
        <v>#REF!</v>
      </c>
      <c r="D36" s="18"/>
      <c r="E36" s="50"/>
      <c r="F36" s="136">
        <f>F28+F32</f>
        <v>1621996.922669874</v>
      </c>
      <c r="G36" s="52" t="e">
        <f>#REF!+#REF!+#REF!+#REF!+#REF!+#REF!</f>
        <v>#REF!</v>
      </c>
      <c r="H36" s="52" t="e">
        <f t="shared" si="1"/>
        <v>#REF!</v>
      </c>
      <c r="J36" s="1">
        <f>F36*0.18</f>
        <v>291959.4460805773</v>
      </c>
      <c r="L36" s="1">
        <f>L35*0.06</f>
        <v>65246.399999999994</v>
      </c>
    </row>
    <row r="37" spans="1:12" ht="33.75" thickBot="1">
      <c r="A37" s="145" t="s">
        <v>64</v>
      </c>
      <c r="B37" s="146" t="s">
        <v>92</v>
      </c>
      <c r="C37" s="147" t="e">
        <f>C36/(#REF!*12)</f>
        <v>#REF!</v>
      </c>
      <c r="D37" s="21"/>
      <c r="E37" s="51"/>
      <c r="F37" s="21">
        <f>F36/F29/12</f>
        <v>10.893137731092608</v>
      </c>
      <c r="G37" s="52" t="e">
        <f>#REF!+#REF!+#REF!+#REF!+#REF!+#REF!</f>
        <v>#REF!</v>
      </c>
      <c r="H37" s="52" t="e">
        <f t="shared" si="1"/>
        <v>#REF!</v>
      </c>
      <c r="J37" s="66">
        <f>J36+F36</f>
        <v>1913956.3687504514</v>
      </c>
      <c r="L37" s="1">
        <v>80128</v>
      </c>
    </row>
    <row r="38" spans="1:10" ht="19.5" thickBot="1">
      <c r="A38" s="277" t="s">
        <v>93</v>
      </c>
      <c r="B38" s="278"/>
      <c r="C38" s="278"/>
      <c r="D38" s="278"/>
      <c r="E38" s="278"/>
      <c r="F38" s="279"/>
      <c r="G38" s="52" t="e">
        <f>#REF!+#REF!+#REF!+#REF!+#REF!+#REF!</f>
        <v>#REF!</v>
      </c>
      <c r="H38" s="52" t="e">
        <f t="shared" si="1"/>
        <v>#REF!</v>
      </c>
      <c r="J38" s="1">
        <f>J37/F29</f>
        <v>154.24683027227132</v>
      </c>
    </row>
    <row r="39" spans="1:12" ht="16.5">
      <c r="A39" s="12" t="s">
        <v>65</v>
      </c>
      <c r="B39" s="148" t="s">
        <v>85</v>
      </c>
      <c r="C39" s="149" t="e">
        <f>C41-C36</f>
        <v>#REF!</v>
      </c>
      <c r="D39" s="22"/>
      <c r="E39" s="150"/>
      <c r="F39" s="136">
        <f>F36*F40/100</f>
        <v>81099.8461334937</v>
      </c>
      <c r="G39" s="52" t="e">
        <f>#REF!+#REF!+#REF!+#REF!+#REF!+#REF!</f>
        <v>#REF!</v>
      </c>
      <c r="H39" s="52" t="e">
        <f t="shared" si="1"/>
        <v>#REF!</v>
      </c>
      <c r="J39" s="1">
        <f>J38/12</f>
        <v>12.853902522689276</v>
      </c>
      <c r="L39" s="1">
        <v>37400</v>
      </c>
    </row>
    <row r="40" spans="1:8" ht="16.5">
      <c r="A40" s="8" t="s">
        <v>67</v>
      </c>
      <c r="B40" s="151" t="s">
        <v>86</v>
      </c>
      <c r="C40" s="152"/>
      <c r="D40" s="14"/>
      <c r="E40" s="45"/>
      <c r="F40" s="123">
        <v>5</v>
      </c>
      <c r="G40" s="52" t="e">
        <f>#REF!+#REF!+#REF!+#REF!+#REF!+#REF!</f>
        <v>#REF!</v>
      </c>
      <c r="H40" s="52" t="e">
        <f t="shared" si="1"/>
        <v>#REF!</v>
      </c>
    </row>
    <row r="41" spans="1:12" ht="16.5">
      <c r="A41" s="6" t="s">
        <v>68</v>
      </c>
      <c r="B41" s="151" t="s">
        <v>66</v>
      </c>
      <c r="C41" s="152">
        <f>781795.1/1.18+231859.5/1.18</f>
        <v>859029.3220338984</v>
      </c>
      <c r="D41" s="14"/>
      <c r="E41" s="45"/>
      <c r="F41" s="119">
        <f>F36+F39</f>
        <v>1703096.7688033679</v>
      </c>
      <c r="G41" s="52" t="e">
        <f>#REF!+#REF!+#REF!+#REF!+#REF!+#REF!</f>
        <v>#REF!</v>
      </c>
      <c r="H41" s="52" t="e">
        <f t="shared" si="1"/>
        <v>#REF!</v>
      </c>
      <c r="L41" s="1">
        <v>267000</v>
      </c>
    </row>
    <row r="42" spans="1:12" s="10" customFormat="1" ht="33">
      <c r="A42" s="9" t="s">
        <v>69</v>
      </c>
      <c r="B42" s="153" t="s">
        <v>94</v>
      </c>
      <c r="C42" s="154" t="e">
        <f>#REF!</f>
        <v>#REF!</v>
      </c>
      <c r="D42" s="23"/>
      <c r="E42" s="155"/>
      <c r="F42" s="156">
        <f>F29</f>
        <v>12408.4</v>
      </c>
      <c r="L42" s="10">
        <v>50000</v>
      </c>
    </row>
    <row r="43" spans="1:12" s="10" customFormat="1" ht="16.5">
      <c r="A43" s="9"/>
      <c r="B43" s="153"/>
      <c r="C43" s="154"/>
      <c r="D43" s="23"/>
      <c r="E43" s="155"/>
      <c r="F43" s="156"/>
      <c r="L43" s="10">
        <f>254500</f>
        <v>254500</v>
      </c>
    </row>
    <row r="44" spans="1:12" ht="16.5">
      <c r="A44" s="6" t="s">
        <v>70</v>
      </c>
      <c r="B44" s="157" t="s">
        <v>95</v>
      </c>
      <c r="C44" s="158" t="e">
        <f>C41/(C42*12)</f>
        <v>#REF!</v>
      </c>
      <c r="D44" s="24"/>
      <c r="E44" s="159"/>
      <c r="F44" s="160">
        <f>F41/(F42*12)</f>
        <v>11.437794617647238</v>
      </c>
      <c r="L44" s="1">
        <f>L35-L36-L37-L39-L41-L42-L43</f>
        <v>333165.6</v>
      </c>
    </row>
    <row r="45" spans="1:12" ht="17.25" thickBot="1">
      <c r="A45" s="11" t="s">
        <v>87</v>
      </c>
      <c r="B45" s="161" t="s">
        <v>88</v>
      </c>
      <c r="C45" s="25" t="s">
        <v>76</v>
      </c>
      <c r="D45" s="25" t="s">
        <v>76</v>
      </c>
      <c r="E45" s="13"/>
      <c r="F45" s="162"/>
      <c r="L45" s="1">
        <f>L44/1.142/12</f>
        <v>24311.55866900175</v>
      </c>
    </row>
    <row r="46" spans="2:6" ht="35.25" customHeight="1">
      <c r="B46" s="164" t="s">
        <v>253</v>
      </c>
      <c r="C46" s="164"/>
      <c r="D46" s="164"/>
      <c r="E46" s="164"/>
      <c r="F46" s="164"/>
    </row>
    <row r="47" spans="1:6" ht="18" customHeight="1">
      <c r="A47" s="165"/>
      <c r="B47" s="166" t="s">
        <v>71</v>
      </c>
      <c r="C47" s="167"/>
      <c r="D47" s="276"/>
      <c r="E47" s="276"/>
      <c r="F47" s="276"/>
    </row>
    <row r="48" spans="2:6" ht="18" customHeight="1">
      <c r="B48" s="164"/>
      <c r="C48" s="164"/>
      <c r="D48" s="164"/>
      <c r="E48" s="164"/>
      <c r="F48" s="164"/>
    </row>
    <row r="49" spans="1:6" ht="18" customHeight="1">
      <c r="A49" s="165"/>
      <c r="B49" s="166"/>
      <c r="C49" s="167"/>
      <c r="D49" s="167"/>
      <c r="E49" s="167"/>
      <c r="F49" s="167"/>
    </row>
    <row r="50" spans="1:6" ht="15.75">
      <c r="A50" s="168"/>
      <c r="B50" s="166"/>
      <c r="C50" s="169"/>
      <c r="D50" s="169"/>
      <c r="E50" s="170"/>
      <c r="F50" s="170"/>
    </row>
    <row r="51" ht="15">
      <c r="D51" s="172"/>
    </row>
  </sheetData>
  <sheetProtection password="81F5" sheet="1" formatCells="0" formatColumns="0" formatRows="0" insertColumns="0" insertRows="0" insertHyperlinks="0" deleteColumns="0" deleteRows="0" sort="0" autoFilter="0" pivotTables="0"/>
  <mergeCells count="6">
    <mergeCell ref="A4:A5"/>
    <mergeCell ref="B4:B5"/>
    <mergeCell ref="A1:F1"/>
    <mergeCell ref="D47:F47"/>
    <mergeCell ref="A38:F38"/>
    <mergeCell ref="D4:F4"/>
  </mergeCells>
  <printOptions/>
  <pageMargins left="0.7874015748031497" right="0.3937007874015748" top="0.3937007874015748" bottom="0.3937007874015748" header="0.31496062992125984" footer="0.31496062992125984"/>
  <pageSetup fitToHeight="1" fitToWidth="1"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view="pageBreakPreview" zoomScale="106" zoomScaleSheetLayoutView="106" zoomScalePageLayoutView="0" workbookViewId="0" topLeftCell="A17">
      <selection activeCell="D29" sqref="D29"/>
    </sheetView>
  </sheetViews>
  <sheetFormatPr defaultColWidth="9.00390625" defaultRowHeight="12.75"/>
  <cols>
    <col min="1" max="1" width="3.125" style="86" customWidth="1"/>
    <col min="2" max="2" width="34.875" style="86" customWidth="1"/>
    <col min="3" max="3" width="7.25390625" style="86" customWidth="1"/>
    <col min="4" max="4" width="9.25390625" style="86" customWidth="1"/>
    <col min="5" max="5" width="6.625" style="86" customWidth="1"/>
    <col min="6" max="6" width="0.12890625" style="86" hidden="1" customWidth="1"/>
    <col min="7" max="7" width="8.25390625" style="86" hidden="1" customWidth="1"/>
    <col min="8" max="8" width="9.625" style="86" customWidth="1"/>
    <col min="9" max="9" width="9.25390625" style="86" customWidth="1"/>
    <col min="10" max="10" width="9.375" style="86" customWidth="1"/>
    <col min="11" max="12" width="9.00390625" style="86" customWidth="1"/>
    <col min="13" max="16384" width="9.125" style="86" customWidth="1"/>
  </cols>
  <sheetData>
    <row r="1" spans="1:15" ht="12.75">
      <c r="A1" s="231"/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2" t="s">
        <v>281</v>
      </c>
    </row>
    <row r="2" spans="1:15" ht="12.75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2" t="s">
        <v>282</v>
      </c>
    </row>
    <row r="3" spans="1:15" ht="12.75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2" t="s">
        <v>283</v>
      </c>
    </row>
    <row r="4" spans="1:15" ht="12.75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</row>
    <row r="5" spans="1:15" ht="12.75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3" t="s">
        <v>284</v>
      </c>
    </row>
    <row r="6" spans="1:15" ht="12.75">
      <c r="A6" s="231"/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2" t="s">
        <v>285</v>
      </c>
      <c r="O6" s="233">
        <v>301017</v>
      </c>
    </row>
    <row r="7" spans="1:15" ht="12.75">
      <c r="A7" s="242" t="s">
        <v>286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N7" s="232" t="s">
        <v>287</v>
      </c>
      <c r="O7" s="233"/>
    </row>
    <row r="8" spans="1:17" ht="12.75">
      <c r="A8" s="243" t="s">
        <v>288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31"/>
      <c r="P8" s="231"/>
      <c r="Q8" s="231"/>
    </row>
    <row r="9" spans="1:15" ht="12.75">
      <c r="A9" s="234"/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</row>
    <row r="10" spans="1:15" ht="12.75">
      <c r="A10" s="234"/>
      <c r="B10" s="234"/>
      <c r="C10" s="388" t="s">
        <v>289</v>
      </c>
      <c r="D10" s="388"/>
      <c r="E10" s="388"/>
      <c r="F10" s="388"/>
      <c r="G10" s="388"/>
      <c r="H10" s="235"/>
      <c r="I10" s="234"/>
      <c r="J10" s="234"/>
      <c r="K10" s="234"/>
      <c r="L10" s="234"/>
      <c r="M10" s="234"/>
      <c r="N10" s="234"/>
      <c r="O10" s="234"/>
    </row>
    <row r="11" spans="1:17" ht="15.75">
      <c r="A11" s="236" t="s">
        <v>290</v>
      </c>
      <c r="B11" s="236"/>
      <c r="C11" s="389"/>
      <c r="D11" s="389"/>
      <c r="E11" s="389"/>
      <c r="F11" s="390" t="s">
        <v>291</v>
      </c>
      <c r="G11" s="390"/>
      <c r="H11" s="235"/>
      <c r="I11" s="237" t="s">
        <v>292</v>
      </c>
      <c r="J11" s="237"/>
      <c r="K11" s="234"/>
      <c r="L11" s="234"/>
      <c r="M11" s="234"/>
      <c r="N11" s="234"/>
      <c r="O11" s="234"/>
      <c r="P11" s="234"/>
      <c r="Q11" s="234"/>
    </row>
    <row r="12" spans="1:17" ht="12.75">
      <c r="A12" s="234"/>
      <c r="B12" s="234"/>
      <c r="C12" s="234"/>
      <c r="D12" s="234"/>
      <c r="E12" s="234"/>
      <c r="F12" s="234"/>
      <c r="G12" s="234"/>
      <c r="H12" s="234"/>
      <c r="I12" s="237" t="s">
        <v>293</v>
      </c>
      <c r="J12" s="237"/>
      <c r="K12" s="234"/>
      <c r="L12" s="234"/>
      <c r="M12" s="234"/>
      <c r="N12" s="234"/>
      <c r="O12" s="234"/>
      <c r="P12" s="234"/>
      <c r="Q12" s="234"/>
    </row>
    <row r="13" spans="1:15" ht="12.75">
      <c r="A13" s="234"/>
      <c r="B13" s="234"/>
      <c r="C13" s="234"/>
      <c r="D13" s="234"/>
      <c r="E13" s="234"/>
      <c r="F13" s="234"/>
      <c r="G13" s="234"/>
      <c r="H13" s="234"/>
      <c r="I13" s="237" t="s">
        <v>294</v>
      </c>
      <c r="J13" s="237"/>
      <c r="K13" s="238"/>
      <c r="L13" s="239">
        <v>7</v>
      </c>
      <c r="M13" s="238"/>
      <c r="N13" s="238"/>
      <c r="O13" s="234" t="s">
        <v>295</v>
      </c>
    </row>
    <row r="14" spans="1:17" ht="12.75">
      <c r="A14" s="234"/>
      <c r="B14" s="234"/>
      <c r="C14" s="240" t="s">
        <v>296</v>
      </c>
      <c r="D14" s="241"/>
      <c r="E14" s="241"/>
      <c r="F14" s="241"/>
      <c r="G14" s="241"/>
      <c r="H14" s="241"/>
      <c r="I14" s="234"/>
      <c r="J14" s="234"/>
      <c r="K14" s="234"/>
      <c r="L14" s="234"/>
      <c r="M14" s="234"/>
      <c r="N14" s="234"/>
      <c r="O14" s="234"/>
      <c r="P14" s="234"/>
      <c r="Q14" s="234"/>
    </row>
    <row r="15" spans="1:17" ht="12.75">
      <c r="A15" s="234"/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5"/>
      <c r="P15" s="234"/>
      <c r="Q15" s="234"/>
    </row>
    <row r="16" spans="1:12" ht="12.75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8"/>
    </row>
    <row r="17" spans="1:14" ht="12.75" customHeight="1">
      <c r="A17" s="262" t="s">
        <v>1</v>
      </c>
      <c r="B17" s="262" t="s">
        <v>2</v>
      </c>
      <c r="C17" s="262" t="s">
        <v>275</v>
      </c>
      <c r="D17" s="262" t="s">
        <v>3</v>
      </c>
      <c r="E17" s="263" t="s">
        <v>17</v>
      </c>
      <c r="F17" s="382" t="s">
        <v>18</v>
      </c>
      <c r="G17" s="382" t="s">
        <v>4</v>
      </c>
      <c r="H17" s="385" t="s">
        <v>19</v>
      </c>
      <c r="I17" s="386"/>
      <c r="J17" s="263" t="s">
        <v>5</v>
      </c>
      <c r="K17" s="262" t="s">
        <v>3</v>
      </c>
      <c r="L17" s="263" t="s">
        <v>6</v>
      </c>
      <c r="M17" s="263" t="s">
        <v>3</v>
      </c>
      <c r="N17" s="247"/>
    </row>
    <row r="18" spans="1:14" ht="14.25">
      <c r="A18" s="264" t="s">
        <v>7</v>
      </c>
      <c r="B18" s="264" t="s">
        <v>8</v>
      </c>
      <c r="C18" s="264" t="s">
        <v>155</v>
      </c>
      <c r="D18" s="264" t="s">
        <v>9</v>
      </c>
      <c r="E18" s="265"/>
      <c r="F18" s="383"/>
      <c r="G18" s="383"/>
      <c r="H18" s="262" t="s">
        <v>12</v>
      </c>
      <c r="I18" s="262" t="s">
        <v>11</v>
      </c>
      <c r="J18" s="265">
        <v>0</v>
      </c>
      <c r="K18" s="264" t="s">
        <v>13</v>
      </c>
      <c r="L18" s="266" t="s">
        <v>13</v>
      </c>
      <c r="M18" s="266" t="s">
        <v>13</v>
      </c>
      <c r="N18" s="247"/>
    </row>
    <row r="19" spans="1:14" ht="60" customHeight="1">
      <c r="A19" s="267"/>
      <c r="B19" s="267"/>
      <c r="C19" s="267"/>
      <c r="D19" s="268" t="s">
        <v>0</v>
      </c>
      <c r="E19" s="269" t="s">
        <v>20</v>
      </c>
      <c r="F19" s="384"/>
      <c r="G19" s="384"/>
      <c r="H19" s="267" t="s">
        <v>21</v>
      </c>
      <c r="I19" s="267" t="s">
        <v>21</v>
      </c>
      <c r="J19" s="267"/>
      <c r="K19" s="267" t="s">
        <v>14</v>
      </c>
      <c r="L19" s="270" t="s">
        <v>14</v>
      </c>
      <c r="M19" s="271" t="s">
        <v>311</v>
      </c>
      <c r="N19" s="247"/>
    </row>
    <row r="20" spans="1:14" ht="14.25">
      <c r="A20" s="272">
        <v>1</v>
      </c>
      <c r="B20" s="272">
        <v>2</v>
      </c>
      <c r="C20" s="272"/>
      <c r="D20" s="272">
        <v>6</v>
      </c>
      <c r="E20" s="272">
        <v>7</v>
      </c>
      <c r="F20" s="272"/>
      <c r="G20" s="272">
        <v>8</v>
      </c>
      <c r="H20" s="272">
        <v>8</v>
      </c>
      <c r="I20" s="272">
        <v>9</v>
      </c>
      <c r="J20" s="272">
        <v>10</v>
      </c>
      <c r="K20" s="272">
        <v>11</v>
      </c>
      <c r="L20" s="272">
        <v>12</v>
      </c>
      <c r="M20" s="272">
        <v>13</v>
      </c>
      <c r="N20" s="247"/>
    </row>
    <row r="21" spans="1:14" ht="14.25">
      <c r="A21" s="387" t="s">
        <v>251</v>
      </c>
      <c r="B21" s="387"/>
      <c r="C21" s="387"/>
      <c r="D21" s="387"/>
      <c r="E21" s="387"/>
      <c r="F21" s="387"/>
      <c r="G21" s="387"/>
      <c r="H21" s="387"/>
      <c r="I21" s="387"/>
      <c r="J21" s="387"/>
      <c r="K21" s="387"/>
      <c r="L21" s="387"/>
      <c r="M21" s="247"/>
      <c r="N21" s="247"/>
    </row>
    <row r="22" spans="1:14" ht="15">
      <c r="A22" s="249"/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7"/>
      <c r="N22" s="247"/>
    </row>
    <row r="23" spans="1:14" ht="15">
      <c r="A23" s="249">
        <v>1</v>
      </c>
      <c r="B23" s="250" t="s">
        <v>198</v>
      </c>
      <c r="C23" s="249">
        <v>1</v>
      </c>
      <c r="D23" s="251">
        <v>7000</v>
      </c>
      <c r="E23" s="252"/>
      <c r="F23" s="252"/>
      <c r="G23" s="252"/>
      <c r="H23" s="251">
        <f>D23*0.5</f>
        <v>3500</v>
      </c>
      <c r="I23" s="251">
        <f>H23</f>
        <v>3500</v>
      </c>
      <c r="J23" s="251">
        <f>D23*0.5*2</f>
        <v>7000</v>
      </c>
      <c r="K23" s="251">
        <f>(D23+E23+H23+I23+J23)*C23</f>
        <v>21000</v>
      </c>
      <c r="L23" s="251">
        <f>K23*12*1.06</f>
        <v>267120</v>
      </c>
      <c r="M23" s="247">
        <f>K23*0.87</f>
        <v>18270</v>
      </c>
      <c r="N23" s="247"/>
    </row>
    <row r="24" spans="1:14" ht="15">
      <c r="A24" s="249">
        <v>2</v>
      </c>
      <c r="B24" s="250" t="s">
        <v>170</v>
      </c>
      <c r="C24" s="249">
        <v>1</v>
      </c>
      <c r="D24" s="251">
        <v>4600</v>
      </c>
      <c r="E24" s="252"/>
      <c r="F24" s="252"/>
      <c r="G24" s="252"/>
      <c r="H24" s="251">
        <f>D24*0.5</f>
        <v>2300</v>
      </c>
      <c r="I24" s="251">
        <f>H24</f>
        <v>2300</v>
      </c>
      <c r="J24" s="251">
        <f>D24*0.5*2</f>
        <v>4600</v>
      </c>
      <c r="K24" s="251">
        <f>(D24+E24+H24+I24+J24)*C24</f>
        <v>13800</v>
      </c>
      <c r="L24" s="251">
        <f>K24*12*1.06</f>
        <v>175536</v>
      </c>
      <c r="M24" s="247">
        <f>K24*0.87</f>
        <v>12006</v>
      </c>
      <c r="N24" s="247"/>
    </row>
    <row r="25" spans="1:14" ht="15">
      <c r="A25" s="249">
        <v>3</v>
      </c>
      <c r="B25" s="250" t="s">
        <v>276</v>
      </c>
      <c r="C25" s="249">
        <v>1</v>
      </c>
      <c r="D25" s="251">
        <v>4000</v>
      </c>
      <c r="E25" s="252"/>
      <c r="F25" s="252"/>
      <c r="G25" s="252"/>
      <c r="H25" s="251">
        <f>D25*0.5</f>
        <v>2000</v>
      </c>
      <c r="I25" s="251">
        <f>H25</f>
        <v>2000</v>
      </c>
      <c r="J25" s="251">
        <f>D25*0.5*2</f>
        <v>4000</v>
      </c>
      <c r="K25" s="251">
        <f>(D25+E25+H25+I25+J25)*C25</f>
        <v>12000</v>
      </c>
      <c r="L25" s="251">
        <f>K25*12*1.06</f>
        <v>152640</v>
      </c>
      <c r="M25" s="247">
        <f>K25*0.87</f>
        <v>10440</v>
      </c>
      <c r="N25" s="247"/>
    </row>
    <row r="26" spans="1:14" ht="15">
      <c r="A26" s="249">
        <v>4</v>
      </c>
      <c r="B26" s="250" t="s">
        <v>280</v>
      </c>
      <c r="C26" s="249">
        <v>0.5</v>
      </c>
      <c r="D26" s="251">
        <v>3500</v>
      </c>
      <c r="E26" s="252"/>
      <c r="F26" s="252"/>
      <c r="G26" s="252"/>
      <c r="H26" s="251">
        <f>D26*0.5</f>
        <v>1750</v>
      </c>
      <c r="I26" s="251">
        <f>H26</f>
        <v>1750</v>
      </c>
      <c r="J26" s="251">
        <f>D26*0.5*2</f>
        <v>3500</v>
      </c>
      <c r="K26" s="251">
        <f>(D26+E26+H26+I26+J26)*C26</f>
        <v>5250</v>
      </c>
      <c r="L26" s="251">
        <f>K26*12*1.06</f>
        <v>66780</v>
      </c>
      <c r="M26" s="247">
        <f>K26*0.87</f>
        <v>4567.5</v>
      </c>
      <c r="N26" s="247"/>
    </row>
    <row r="27" spans="1:14" s="90" customFormat="1" ht="15">
      <c r="A27" s="248"/>
      <c r="B27" s="253" t="s">
        <v>15</v>
      </c>
      <c r="C27" s="248">
        <f>SUM(C23:C26)</f>
        <v>3.5</v>
      </c>
      <c r="D27" s="253">
        <f aca="true" t="shared" si="0" ref="D27:L27">SUM(D23:D26)</f>
        <v>19100</v>
      </c>
      <c r="E27" s="253">
        <f t="shared" si="0"/>
        <v>0</v>
      </c>
      <c r="F27" s="253">
        <f t="shared" si="0"/>
        <v>0</v>
      </c>
      <c r="G27" s="253">
        <f t="shared" si="0"/>
        <v>0</v>
      </c>
      <c r="H27" s="253">
        <f t="shared" si="0"/>
        <v>9550</v>
      </c>
      <c r="I27" s="253">
        <f t="shared" si="0"/>
        <v>9550</v>
      </c>
      <c r="J27" s="253">
        <f t="shared" si="0"/>
        <v>19100</v>
      </c>
      <c r="K27" s="253">
        <f t="shared" si="0"/>
        <v>52050</v>
      </c>
      <c r="L27" s="253">
        <f t="shared" si="0"/>
        <v>662076</v>
      </c>
      <c r="M27" s="247"/>
      <c r="N27" s="254"/>
    </row>
    <row r="28" spans="1:14" s="90" customFormat="1" ht="15">
      <c r="A28" s="248"/>
      <c r="B28" s="253"/>
      <c r="C28" s="248"/>
      <c r="D28" s="255"/>
      <c r="E28" s="248"/>
      <c r="F28" s="248"/>
      <c r="G28" s="248"/>
      <c r="H28" s="255"/>
      <c r="I28" s="255"/>
      <c r="J28" s="256"/>
      <c r="K28" s="256"/>
      <c r="L28" s="256"/>
      <c r="M28" s="247"/>
      <c r="N28" s="254"/>
    </row>
    <row r="29" spans="1:14" ht="15">
      <c r="A29" s="257">
        <v>1</v>
      </c>
      <c r="B29" s="257" t="s">
        <v>277</v>
      </c>
      <c r="C29" s="258">
        <v>1</v>
      </c>
      <c r="D29" s="257">
        <f>2100*2.16</f>
        <v>4536</v>
      </c>
      <c r="E29" s="259">
        <f>D29*0.08</f>
        <v>362.88</v>
      </c>
      <c r="F29" s="259"/>
      <c r="G29" s="259"/>
      <c r="H29" s="251">
        <f>D29*0.5</f>
        <v>2268</v>
      </c>
      <c r="I29" s="251">
        <f>H29</f>
        <v>2268</v>
      </c>
      <c r="J29" s="251">
        <f>D29*0.5*2</f>
        <v>4536</v>
      </c>
      <c r="K29" s="251">
        <f>(D29+E29+H29+I29+J29)*C29</f>
        <v>13970.880000000001</v>
      </c>
      <c r="L29" s="251">
        <f>K29*12*1.06</f>
        <v>177709.5936</v>
      </c>
      <c r="M29" s="247">
        <f>K29*0.87</f>
        <v>12154.6656</v>
      </c>
      <c r="N29" s="247"/>
    </row>
    <row r="30" spans="1:14" ht="15">
      <c r="A30" s="257">
        <v>2</v>
      </c>
      <c r="B30" s="257" t="s">
        <v>278</v>
      </c>
      <c r="C30" s="258">
        <v>1</v>
      </c>
      <c r="D30" s="257">
        <f>2100*2.16</f>
        <v>4536</v>
      </c>
      <c r="E30" s="259">
        <f>D30*0.08</f>
        <v>362.88</v>
      </c>
      <c r="F30" s="259"/>
      <c r="G30" s="259"/>
      <c r="H30" s="251">
        <f>D30*0.5</f>
        <v>2268</v>
      </c>
      <c r="I30" s="251">
        <f>H30</f>
        <v>2268</v>
      </c>
      <c r="J30" s="251">
        <f>D30*0.5*2</f>
        <v>4536</v>
      </c>
      <c r="K30" s="251">
        <f>(D30+E30+H30+I30+J30)*C30</f>
        <v>13970.880000000001</v>
      </c>
      <c r="L30" s="251">
        <f>K30*12*1.06</f>
        <v>177709.5936</v>
      </c>
      <c r="M30" s="247">
        <f>K30*0.87</f>
        <v>12154.6656</v>
      </c>
      <c r="N30" s="247"/>
    </row>
    <row r="31" spans="1:14" ht="15">
      <c r="A31" s="257">
        <v>4</v>
      </c>
      <c r="B31" s="257" t="s">
        <v>279</v>
      </c>
      <c r="C31" s="258">
        <v>1</v>
      </c>
      <c r="D31" s="257">
        <f>2100*2.16</f>
        <v>4536</v>
      </c>
      <c r="E31" s="259">
        <f>D31*0.08</f>
        <v>362.88</v>
      </c>
      <c r="F31" s="259"/>
      <c r="G31" s="259"/>
      <c r="H31" s="251">
        <f>D31*0.5</f>
        <v>2268</v>
      </c>
      <c r="I31" s="251">
        <f>H31</f>
        <v>2268</v>
      </c>
      <c r="J31" s="251">
        <f>D31*0.5*2</f>
        <v>4536</v>
      </c>
      <c r="K31" s="251">
        <f>(D31+E31+H31+I31+J31)*C31</f>
        <v>13970.880000000001</v>
      </c>
      <c r="L31" s="251">
        <f>K31*12*1.06</f>
        <v>177709.5936</v>
      </c>
      <c r="M31" s="247">
        <f>K31*0.87</f>
        <v>12154.6656</v>
      </c>
      <c r="N31" s="247"/>
    </row>
    <row r="32" spans="1:14" ht="15">
      <c r="A32" s="257"/>
      <c r="B32" s="260" t="s">
        <v>10</v>
      </c>
      <c r="C32" s="261">
        <f aca="true" t="shared" si="1" ref="C32:L32">SUM(C29:C31)</f>
        <v>3</v>
      </c>
      <c r="D32" s="260">
        <f t="shared" si="1"/>
        <v>13608</v>
      </c>
      <c r="E32" s="260">
        <f t="shared" si="1"/>
        <v>1088.6399999999999</v>
      </c>
      <c r="F32" s="260">
        <f t="shared" si="1"/>
        <v>0</v>
      </c>
      <c r="G32" s="260">
        <f t="shared" si="1"/>
        <v>0</v>
      </c>
      <c r="H32" s="260">
        <f t="shared" si="1"/>
        <v>6804</v>
      </c>
      <c r="I32" s="260">
        <f t="shared" si="1"/>
        <v>6804</v>
      </c>
      <c r="J32" s="260">
        <f t="shared" si="1"/>
        <v>13608</v>
      </c>
      <c r="K32" s="260">
        <f t="shared" si="1"/>
        <v>41912.64</v>
      </c>
      <c r="L32" s="260">
        <f t="shared" si="1"/>
        <v>533128.7808</v>
      </c>
      <c r="M32" s="247"/>
      <c r="N32" s="247"/>
    </row>
    <row r="33" spans="1:14" ht="15">
      <c r="A33" s="257"/>
      <c r="B33" s="257"/>
      <c r="C33" s="258"/>
      <c r="D33" s="257"/>
      <c r="E33" s="257"/>
      <c r="F33" s="257"/>
      <c r="G33" s="257"/>
      <c r="H33" s="257"/>
      <c r="I33" s="257"/>
      <c r="J33" s="257"/>
      <c r="K33" s="257"/>
      <c r="L33" s="257"/>
      <c r="M33" s="247"/>
      <c r="N33" s="247"/>
    </row>
    <row r="34" spans="1:14" ht="15">
      <c r="A34" s="257"/>
      <c r="B34" s="260" t="s">
        <v>16</v>
      </c>
      <c r="C34" s="261">
        <f aca="true" t="shared" si="2" ref="C34:L34">C27+C32</f>
        <v>6.5</v>
      </c>
      <c r="D34" s="260">
        <f t="shared" si="2"/>
        <v>32708</v>
      </c>
      <c r="E34" s="260">
        <f t="shared" si="2"/>
        <v>1088.6399999999999</v>
      </c>
      <c r="F34" s="260">
        <f t="shared" si="2"/>
        <v>0</v>
      </c>
      <c r="G34" s="260">
        <f t="shared" si="2"/>
        <v>0</v>
      </c>
      <c r="H34" s="260">
        <f t="shared" si="2"/>
        <v>16354</v>
      </c>
      <c r="I34" s="260">
        <f t="shared" si="2"/>
        <v>16354</v>
      </c>
      <c r="J34" s="260">
        <f t="shared" si="2"/>
        <v>32708</v>
      </c>
      <c r="K34" s="260">
        <f t="shared" si="2"/>
        <v>93962.64</v>
      </c>
      <c r="L34" s="260">
        <f t="shared" si="2"/>
        <v>1195204.7807999998</v>
      </c>
      <c r="M34" s="247"/>
      <c r="N34" s="247"/>
    </row>
    <row r="35" spans="1:12" ht="12.75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</row>
    <row r="36" spans="1:12" ht="12.75">
      <c r="A36" s="89"/>
      <c r="B36" s="89" t="s">
        <v>297</v>
      </c>
      <c r="C36" s="244"/>
      <c r="D36" s="244"/>
      <c r="E36" s="89"/>
      <c r="F36" s="89"/>
      <c r="G36" s="89"/>
      <c r="H36" s="89"/>
      <c r="I36" s="244" t="s">
        <v>298</v>
      </c>
      <c r="J36" s="244"/>
      <c r="K36" s="89"/>
      <c r="L36" s="89"/>
    </row>
  </sheetData>
  <sheetProtection password="81F5" sheet="1" formatCells="0" formatColumns="0" formatRows="0" insertColumns="0" insertRows="0" insertHyperlinks="0" deleteColumns="0" deleteRows="0" sort="0" autoFilter="0" pivotTables="0"/>
  <mergeCells count="8">
    <mergeCell ref="F17:F19"/>
    <mergeCell ref="G17:G19"/>
    <mergeCell ref="H17:I17"/>
    <mergeCell ref="A21:L21"/>
    <mergeCell ref="C10:E10"/>
    <mergeCell ref="F10:G10"/>
    <mergeCell ref="C11:E11"/>
    <mergeCell ref="F11:G11"/>
  </mergeCells>
  <printOptions/>
  <pageMargins left="0.984251968503937" right="0.1968503937007874" top="0.984251968503937" bottom="0.984251968503937" header="0.5118110236220472" footer="0.5118110236220472"/>
  <pageSetup fitToHeight="1" fitToWidth="1" horizontalDpi="120" verticalDpi="12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view="pageBreakPreview" zoomScaleSheetLayoutView="100" zoomScalePageLayoutView="0" workbookViewId="0" topLeftCell="H7">
      <selection activeCell="L31" sqref="L31"/>
    </sheetView>
  </sheetViews>
  <sheetFormatPr defaultColWidth="9.00390625" defaultRowHeight="12.75"/>
  <cols>
    <col min="1" max="1" width="5.375" style="42" customWidth="1"/>
    <col min="2" max="2" width="18.625" style="42" customWidth="1"/>
    <col min="3" max="3" width="9.125" style="42" hidden="1" customWidth="1"/>
    <col min="4" max="4" width="13.00390625" style="42" hidden="1" customWidth="1"/>
    <col min="5" max="5" width="6.125" style="42" hidden="1" customWidth="1"/>
    <col min="6" max="6" width="6.625" style="42" customWidth="1"/>
    <col min="7" max="7" width="7.00390625" style="42" customWidth="1"/>
    <col min="8" max="8" width="7.25390625" style="42" bestFit="1" customWidth="1"/>
    <col min="9" max="9" width="7.625" style="42" customWidth="1"/>
    <col min="10" max="10" width="7.125" style="42" customWidth="1"/>
    <col min="11" max="11" width="8.625" style="42" customWidth="1"/>
    <col min="12" max="12" width="11.75390625" style="44" customWidth="1"/>
    <col min="13" max="13" width="12.375" style="44" customWidth="1"/>
    <col min="14" max="14" width="6.75390625" style="44" customWidth="1"/>
    <col min="15" max="15" width="7.75390625" style="44" customWidth="1"/>
    <col min="16" max="16" width="7.75390625" style="185" customWidth="1"/>
    <col min="17" max="17" width="8.875" style="44" customWidth="1"/>
    <col min="18" max="18" width="9.00390625" style="44" customWidth="1"/>
    <col min="19" max="19" width="9.25390625" style="44" customWidth="1"/>
    <col min="20" max="20" width="11.625" style="44" bestFit="1" customWidth="1"/>
    <col min="21" max="16384" width="9.125" style="44" customWidth="1"/>
  </cols>
  <sheetData>
    <row r="1" spans="1:16" s="28" customFormat="1" ht="25.5" customHeight="1">
      <c r="A1" s="285" t="s">
        <v>175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P1" s="183"/>
    </row>
    <row r="2" spans="1:16" s="28" customFormat="1" ht="13.5" thickBo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P2" s="183"/>
    </row>
    <row r="3" spans="1:19" s="28" customFormat="1" ht="29.25" customHeight="1">
      <c r="A3" s="74" t="s">
        <v>102</v>
      </c>
      <c r="B3" s="75" t="s">
        <v>103</v>
      </c>
      <c r="C3" s="76" t="s">
        <v>104</v>
      </c>
      <c r="D3" s="75" t="s">
        <v>105</v>
      </c>
      <c r="E3" s="299" t="s">
        <v>106</v>
      </c>
      <c r="F3" s="75" t="s">
        <v>107</v>
      </c>
      <c r="G3" s="76" t="s">
        <v>107</v>
      </c>
      <c r="H3" s="75" t="s">
        <v>107</v>
      </c>
      <c r="I3" s="282" t="s">
        <v>180</v>
      </c>
      <c r="J3" s="282" t="s">
        <v>156</v>
      </c>
      <c r="K3" s="282" t="s">
        <v>181</v>
      </c>
      <c r="L3" s="282" t="str">
        <f>сант!A1</f>
        <v>Техническое обслуживание систем отопления, водоснабжения, водоотведения включает работы по контролю технического состояния, поддержанию работоспособности и исправности оборудования, наладке и регулировке, подготовке к сезонной эксплуатации.</v>
      </c>
      <c r="M3" s="282" t="str">
        <f>элек!A1</f>
        <v>Техническое обслуживание систем электроснабжения включает работы по контролю технического состояния, поддержанию работоспособности и исправности оборудования, наладке и регулировке, подготовке к сезонной эксплуатации.</v>
      </c>
      <c r="N3" s="296" t="str">
        <f>паспотист!A1</f>
        <v>Содержание паспортиста</v>
      </c>
      <c r="O3" s="296" t="str">
        <f>авар!A1</f>
        <v>Аварийное обслуживание</v>
      </c>
      <c r="P3" s="287" t="s">
        <v>183</v>
      </c>
      <c r="Q3" s="290" t="s">
        <v>10</v>
      </c>
      <c r="R3" s="290" t="s">
        <v>313</v>
      </c>
      <c r="S3" s="293" t="s">
        <v>176</v>
      </c>
    </row>
    <row r="4" spans="1:19" s="28" customFormat="1" ht="12.75" customHeight="1">
      <c r="A4" s="70"/>
      <c r="B4" s="30" t="s">
        <v>109</v>
      </c>
      <c r="C4" s="31" t="s">
        <v>110</v>
      </c>
      <c r="D4" s="30" t="s">
        <v>111</v>
      </c>
      <c r="E4" s="300"/>
      <c r="F4" s="30" t="s">
        <v>112</v>
      </c>
      <c r="G4" s="31" t="s">
        <v>113</v>
      </c>
      <c r="H4" s="30" t="s">
        <v>114</v>
      </c>
      <c r="I4" s="283"/>
      <c r="J4" s="283"/>
      <c r="K4" s="283"/>
      <c r="L4" s="283"/>
      <c r="M4" s="283"/>
      <c r="N4" s="297"/>
      <c r="O4" s="297"/>
      <c r="P4" s="288"/>
      <c r="Q4" s="291"/>
      <c r="R4" s="291"/>
      <c r="S4" s="294"/>
    </row>
    <row r="5" spans="1:19" s="28" customFormat="1" ht="12.75">
      <c r="A5" s="70"/>
      <c r="B5" s="30"/>
      <c r="C5" s="31"/>
      <c r="D5" s="30" t="s">
        <v>116</v>
      </c>
      <c r="E5" s="300"/>
      <c r="F5" s="30"/>
      <c r="G5" s="31" t="s">
        <v>117</v>
      </c>
      <c r="H5" s="30"/>
      <c r="I5" s="283"/>
      <c r="J5" s="283"/>
      <c r="K5" s="283"/>
      <c r="L5" s="283"/>
      <c r="M5" s="283"/>
      <c r="N5" s="297"/>
      <c r="O5" s="297"/>
      <c r="P5" s="288"/>
      <c r="Q5" s="291"/>
      <c r="R5" s="291"/>
      <c r="S5" s="294"/>
    </row>
    <row r="6" spans="1:22" s="28" customFormat="1" ht="228" customHeight="1" thickBot="1">
      <c r="A6" s="78"/>
      <c r="B6" s="69"/>
      <c r="C6" s="79"/>
      <c r="D6" s="69"/>
      <c r="E6" s="301"/>
      <c r="F6" s="69"/>
      <c r="G6" s="79"/>
      <c r="H6" s="69"/>
      <c r="I6" s="284"/>
      <c r="J6" s="284"/>
      <c r="K6" s="284"/>
      <c r="L6" s="284"/>
      <c r="M6" s="284"/>
      <c r="N6" s="298"/>
      <c r="O6" s="298"/>
      <c r="P6" s="289"/>
      <c r="Q6" s="292"/>
      <c r="R6" s="292"/>
      <c r="S6" s="295"/>
      <c r="T6" s="28" t="s">
        <v>177</v>
      </c>
      <c r="U6" s="28" t="s">
        <v>178</v>
      </c>
      <c r="V6" s="28" t="s">
        <v>179</v>
      </c>
    </row>
    <row r="7" spans="1:19" s="33" customFormat="1" ht="12.75" customHeight="1">
      <c r="A7" s="84">
        <v>1</v>
      </c>
      <c r="B7" s="85">
        <v>2</v>
      </c>
      <c r="C7" s="84">
        <v>3</v>
      </c>
      <c r="D7" s="85">
        <v>4</v>
      </c>
      <c r="E7" s="84">
        <v>5</v>
      </c>
      <c r="F7" s="85">
        <v>6</v>
      </c>
      <c r="G7" s="84">
        <v>7</v>
      </c>
      <c r="H7" s="85">
        <v>8</v>
      </c>
      <c r="I7" s="84">
        <v>9</v>
      </c>
      <c r="J7" s="85">
        <v>10</v>
      </c>
      <c r="K7" s="84">
        <v>11</v>
      </c>
      <c r="L7" s="85">
        <v>12</v>
      </c>
      <c r="M7" s="84">
        <v>13</v>
      </c>
      <c r="N7" s="85">
        <v>16</v>
      </c>
      <c r="O7" s="85">
        <v>18</v>
      </c>
      <c r="P7" s="184">
        <v>20</v>
      </c>
      <c r="Q7" s="85">
        <v>21</v>
      </c>
      <c r="R7" s="85">
        <v>22</v>
      </c>
      <c r="S7" s="104">
        <v>23</v>
      </c>
    </row>
    <row r="8" spans="1:22" s="33" customFormat="1" ht="12.75">
      <c r="A8" s="68">
        <v>1</v>
      </c>
      <c r="B8" s="188" t="s">
        <v>188</v>
      </c>
      <c r="C8" s="34">
        <v>1982</v>
      </c>
      <c r="D8" s="34" t="s">
        <v>121</v>
      </c>
      <c r="E8" s="34">
        <v>21.2</v>
      </c>
      <c r="F8" s="188">
        <v>2</v>
      </c>
      <c r="G8" s="188">
        <v>1</v>
      </c>
      <c r="H8" s="214">
        <v>10</v>
      </c>
      <c r="I8" s="214">
        <v>336.2</v>
      </c>
      <c r="J8" s="215">
        <v>382.8</v>
      </c>
      <c r="K8" s="216">
        <f aca="true" t="shared" si="0" ref="K8:K39">J8-I8</f>
        <v>46.60000000000002</v>
      </c>
      <c r="L8" s="217">
        <f>сант!N14</f>
        <v>1.824907869980551</v>
      </c>
      <c r="M8" s="217">
        <f>элек!O14</f>
        <v>1.8331519356080086</v>
      </c>
      <c r="N8" s="218">
        <f>паспотист!N10</f>
        <v>0.26</v>
      </c>
      <c r="O8" s="218">
        <f>авар!N14</f>
        <v>0.23643731665645853</v>
      </c>
      <c r="P8" s="82">
        <f>ОЦР!N10</f>
        <v>6.940302036906949</v>
      </c>
      <c r="Q8" s="218">
        <f>SUM(L8:P8)</f>
        <v>11.094799159151968</v>
      </c>
      <c r="R8" s="219">
        <f>Q8*0.05</f>
        <v>0.5547399579575985</v>
      </c>
      <c r="S8" s="220">
        <f>Q8+R8</f>
        <v>11.649539117109567</v>
      </c>
      <c r="T8" s="33">
        <v>2591</v>
      </c>
      <c r="U8" s="33">
        <v>5.4</v>
      </c>
      <c r="V8" s="33">
        <v>479.9</v>
      </c>
    </row>
    <row r="9" spans="1:22" s="38" customFormat="1" ht="12.75">
      <c r="A9" s="68">
        <v>2</v>
      </c>
      <c r="B9" s="188" t="s">
        <v>189</v>
      </c>
      <c r="C9" s="34">
        <v>1982</v>
      </c>
      <c r="D9" s="34" t="s">
        <v>120</v>
      </c>
      <c r="E9" s="34">
        <v>44</v>
      </c>
      <c r="F9" s="188">
        <v>2</v>
      </c>
      <c r="G9" s="188">
        <v>1</v>
      </c>
      <c r="H9" s="214">
        <v>9</v>
      </c>
      <c r="I9" s="214">
        <v>334</v>
      </c>
      <c r="J9" s="215">
        <v>380.8</v>
      </c>
      <c r="K9" s="216">
        <f t="shared" si="0"/>
        <v>46.80000000000001</v>
      </c>
      <c r="L9" s="217">
        <f>сант!N15</f>
        <v>1.824907869980551</v>
      </c>
      <c r="M9" s="217">
        <f>элек!O15</f>
        <v>1.8531460164970122</v>
      </c>
      <c r="N9" s="218">
        <f>паспотист!N11</f>
        <v>0.25999999999999995</v>
      </c>
      <c r="O9" s="218">
        <f>авар!N15</f>
        <v>0.23643731665645853</v>
      </c>
      <c r="P9" s="82">
        <f>ОЦР!N11</f>
        <v>6.940302036906949</v>
      </c>
      <c r="Q9" s="218">
        <f aca="true" t="shared" si="1" ref="Q9:Q17">SUM(L9:P9)</f>
        <v>11.11479324004097</v>
      </c>
      <c r="R9" s="219">
        <f>Q9*0.05</f>
        <v>0.5557396620020486</v>
      </c>
      <c r="S9" s="220">
        <f aca="true" t="shared" si="2" ref="S9:S17">Q9+R9</f>
        <v>11.67053290204302</v>
      </c>
      <c r="T9" s="38">
        <v>2556</v>
      </c>
      <c r="U9" s="38">
        <v>5.4</v>
      </c>
      <c r="V9" s="38">
        <v>473.3</v>
      </c>
    </row>
    <row r="10" spans="1:22" s="38" customFormat="1" ht="12.75">
      <c r="A10" s="68">
        <v>3</v>
      </c>
      <c r="B10" s="188" t="s">
        <v>196</v>
      </c>
      <c r="C10" s="37">
        <v>1980</v>
      </c>
      <c r="D10" s="37" t="s">
        <v>122</v>
      </c>
      <c r="E10" s="37">
        <f>19.2+0.8</f>
        <v>20</v>
      </c>
      <c r="F10" s="37">
        <v>2</v>
      </c>
      <c r="G10" s="37">
        <v>1</v>
      </c>
      <c r="H10" s="216">
        <v>4</v>
      </c>
      <c r="I10" s="216">
        <v>240.4</v>
      </c>
      <c r="J10" s="216">
        <v>274</v>
      </c>
      <c r="K10" s="216">
        <f t="shared" si="0"/>
        <v>33.599999999999994</v>
      </c>
      <c r="L10" s="217">
        <f>сант!N16</f>
        <v>1.824907869980551</v>
      </c>
      <c r="M10" s="217">
        <f>элек!O16</f>
        <v>1.8484813287981623</v>
      </c>
      <c r="N10" s="218">
        <f>паспотист!N12</f>
        <v>0.26</v>
      </c>
      <c r="O10" s="218">
        <f>авар!N16</f>
        <v>0.23643731665645853</v>
      </c>
      <c r="P10" s="82">
        <f>ОЦР!N12</f>
        <v>6.940302036906949</v>
      </c>
      <c r="Q10" s="218">
        <f t="shared" si="1"/>
        <v>11.110128552342122</v>
      </c>
      <c r="R10" s="219">
        <f aca="true" t="shared" si="3" ref="R10:R39">Q10*0.05</f>
        <v>0.5555064276171061</v>
      </c>
      <c r="S10" s="220">
        <f t="shared" si="2"/>
        <v>11.665634979959227</v>
      </c>
      <c r="T10" s="38">
        <v>2788</v>
      </c>
      <c r="U10" s="38">
        <v>5.5</v>
      </c>
      <c r="V10" s="38">
        <v>506.9</v>
      </c>
    </row>
    <row r="11" spans="1:22" s="38" customFormat="1" ht="12.75" customHeight="1">
      <c r="A11" s="68">
        <v>4</v>
      </c>
      <c r="B11" s="189" t="s">
        <v>194</v>
      </c>
      <c r="C11" s="34">
        <v>1999</v>
      </c>
      <c r="D11" s="34" t="s">
        <v>120</v>
      </c>
      <c r="E11" s="34">
        <v>10</v>
      </c>
      <c r="F11" s="189">
        <v>2</v>
      </c>
      <c r="G11" s="189">
        <v>1</v>
      </c>
      <c r="H11" s="221">
        <v>10</v>
      </c>
      <c r="I11" s="221">
        <v>334.6</v>
      </c>
      <c r="J11" s="214">
        <v>381.4</v>
      </c>
      <c r="K11" s="216">
        <f t="shared" si="0"/>
        <v>46.799999999999955</v>
      </c>
      <c r="L11" s="217">
        <f>сант!N17</f>
        <v>1.824907869980551</v>
      </c>
      <c r="M11" s="217">
        <f>элек!O17</f>
        <v>1.8498229812014382</v>
      </c>
      <c r="N11" s="218">
        <f>паспотист!N13</f>
        <v>0.25999999999999995</v>
      </c>
      <c r="O11" s="218">
        <f>авар!N17</f>
        <v>0.23643731665645853</v>
      </c>
      <c r="P11" s="82">
        <f>ОЦР!N13</f>
        <v>6.940302036906949</v>
      </c>
      <c r="Q11" s="218">
        <f t="shared" si="1"/>
        <v>11.111470204745396</v>
      </c>
      <c r="R11" s="219">
        <f t="shared" si="3"/>
        <v>0.5555735102372699</v>
      </c>
      <c r="S11" s="220">
        <f t="shared" si="2"/>
        <v>11.667043714982666</v>
      </c>
      <c r="T11" s="38">
        <v>2716</v>
      </c>
      <c r="U11" s="38">
        <v>5.6</v>
      </c>
      <c r="V11" s="38">
        <v>485</v>
      </c>
    </row>
    <row r="12" spans="1:22" s="38" customFormat="1" ht="12.75">
      <c r="A12" s="68">
        <v>5</v>
      </c>
      <c r="B12" s="188" t="s">
        <v>195</v>
      </c>
      <c r="C12" s="173"/>
      <c r="D12" s="173"/>
      <c r="E12" s="173"/>
      <c r="F12" s="188">
        <v>2</v>
      </c>
      <c r="G12" s="188">
        <v>1</v>
      </c>
      <c r="H12" s="214">
        <v>10</v>
      </c>
      <c r="I12" s="214">
        <v>340.4</v>
      </c>
      <c r="J12" s="214">
        <v>388.1</v>
      </c>
      <c r="K12" s="216">
        <f t="shared" si="0"/>
        <v>47.700000000000045</v>
      </c>
      <c r="L12" s="217">
        <f>сант!N18</f>
        <v>1.824907869980551</v>
      </c>
      <c r="M12" s="217">
        <f>элек!O18</f>
        <v>1.8532716478368283</v>
      </c>
      <c r="N12" s="218">
        <f>паспотист!N14</f>
        <v>0.26</v>
      </c>
      <c r="O12" s="218">
        <f>авар!N18</f>
        <v>0.23643731665645853</v>
      </c>
      <c r="P12" s="82">
        <f>ОЦР!N14</f>
        <v>6.940302036906949</v>
      </c>
      <c r="Q12" s="218">
        <f t="shared" si="1"/>
        <v>11.114918871380787</v>
      </c>
      <c r="R12" s="219">
        <f t="shared" si="3"/>
        <v>0.5557459435690394</v>
      </c>
      <c r="S12" s="220">
        <f t="shared" si="2"/>
        <v>11.670664814949827</v>
      </c>
      <c r="T12" s="38">
        <v>2985</v>
      </c>
      <c r="U12" s="38">
        <v>5.85</v>
      </c>
      <c r="V12" s="38">
        <v>510.2</v>
      </c>
    </row>
    <row r="13" spans="1:19" s="174" customFormat="1" ht="12.75">
      <c r="A13" s="68">
        <v>6</v>
      </c>
      <c r="B13" s="188" t="s">
        <v>191</v>
      </c>
      <c r="C13" s="173">
        <v>1985</v>
      </c>
      <c r="D13" s="173" t="s">
        <v>120</v>
      </c>
      <c r="E13" s="173"/>
      <c r="F13" s="188">
        <v>2</v>
      </c>
      <c r="G13" s="188">
        <v>1</v>
      </c>
      <c r="H13" s="214">
        <v>8</v>
      </c>
      <c r="I13" s="214">
        <v>321.9</v>
      </c>
      <c r="J13" s="214">
        <v>367</v>
      </c>
      <c r="K13" s="216">
        <f t="shared" si="0"/>
        <v>45.10000000000002</v>
      </c>
      <c r="L13" s="217">
        <f>сант!N19</f>
        <v>1.824907869980551</v>
      </c>
      <c r="M13" s="217">
        <f>элек!O19</f>
        <v>1.8529590402671303</v>
      </c>
      <c r="N13" s="218">
        <f>паспотист!N15</f>
        <v>0.26</v>
      </c>
      <c r="O13" s="218">
        <f>авар!N19</f>
        <v>0.23643731665645853</v>
      </c>
      <c r="P13" s="82">
        <f>ОЦР!N15</f>
        <v>6.940302036906949</v>
      </c>
      <c r="Q13" s="218">
        <f t="shared" si="1"/>
        <v>11.114606263811089</v>
      </c>
      <c r="R13" s="219">
        <f t="shared" si="3"/>
        <v>0.5557303131905544</v>
      </c>
      <c r="S13" s="220">
        <f t="shared" si="2"/>
        <v>11.670336577001644</v>
      </c>
    </row>
    <row r="14" spans="1:22" s="67" customFormat="1" ht="12.75">
      <c r="A14" s="68">
        <v>7</v>
      </c>
      <c r="B14" s="188" t="s">
        <v>192</v>
      </c>
      <c r="C14" s="34">
        <v>1983</v>
      </c>
      <c r="D14" s="34" t="s">
        <v>120</v>
      </c>
      <c r="E14" s="34">
        <v>42</v>
      </c>
      <c r="F14" s="188">
        <v>2</v>
      </c>
      <c r="G14" s="188">
        <v>1</v>
      </c>
      <c r="H14" s="214">
        <v>9</v>
      </c>
      <c r="I14" s="214">
        <v>326.6</v>
      </c>
      <c r="J14" s="214">
        <v>371.9</v>
      </c>
      <c r="K14" s="216">
        <f t="shared" si="0"/>
        <v>45.299999999999955</v>
      </c>
      <c r="L14" s="217">
        <f>сант!N20</f>
        <v>1.824907869980551</v>
      </c>
      <c r="M14" s="217">
        <f>элек!O20</f>
        <v>1.8343925407856032</v>
      </c>
      <c r="N14" s="218">
        <f>паспотист!N16</f>
        <v>0.26</v>
      </c>
      <c r="O14" s="218">
        <f>авар!N20</f>
        <v>0.23643731665645853</v>
      </c>
      <c r="P14" s="82">
        <f>ОЦР!N16</f>
        <v>6.940302036906949</v>
      </c>
      <c r="Q14" s="218">
        <f t="shared" si="1"/>
        <v>11.09603976432956</v>
      </c>
      <c r="R14" s="219">
        <f t="shared" si="3"/>
        <v>0.5548019882164781</v>
      </c>
      <c r="S14" s="220">
        <f t="shared" si="2"/>
        <v>11.65084175254604</v>
      </c>
      <c r="T14" s="67">
        <v>3022</v>
      </c>
      <c r="U14" s="67">
        <v>5.6</v>
      </c>
      <c r="V14" s="67">
        <v>539.6</v>
      </c>
    </row>
    <row r="15" spans="1:22" s="67" customFormat="1" ht="12.75">
      <c r="A15" s="68">
        <v>8</v>
      </c>
      <c r="B15" s="188" t="s">
        <v>186</v>
      </c>
      <c r="C15" s="34">
        <v>1981</v>
      </c>
      <c r="D15" s="34" t="s">
        <v>120</v>
      </c>
      <c r="E15" s="34">
        <v>46</v>
      </c>
      <c r="F15" s="188">
        <v>2</v>
      </c>
      <c r="G15" s="188">
        <v>2</v>
      </c>
      <c r="H15" s="214">
        <v>12</v>
      </c>
      <c r="I15" s="216">
        <v>489.7</v>
      </c>
      <c r="J15" s="215">
        <v>558.3</v>
      </c>
      <c r="K15" s="216">
        <f t="shared" si="0"/>
        <v>68.59999999999997</v>
      </c>
      <c r="L15" s="217">
        <f>сант!N21</f>
        <v>1.824907869980551</v>
      </c>
      <c r="M15" s="217">
        <f>элек!O21</f>
        <v>1.8526964349525918</v>
      </c>
      <c r="N15" s="218">
        <f>паспотист!N17</f>
        <v>0.26</v>
      </c>
      <c r="O15" s="218">
        <f>авар!N21</f>
        <v>0.23643731665645853</v>
      </c>
      <c r="P15" s="82">
        <f>ОЦР!N17</f>
        <v>6.940302036906949</v>
      </c>
      <c r="Q15" s="218">
        <f t="shared" si="1"/>
        <v>11.114343658496551</v>
      </c>
      <c r="R15" s="219">
        <f t="shared" si="3"/>
        <v>0.5557171829248276</v>
      </c>
      <c r="S15" s="220">
        <f t="shared" si="2"/>
        <v>11.670060841421378</v>
      </c>
      <c r="T15" s="67">
        <v>3017</v>
      </c>
      <c r="U15" s="67">
        <v>5.5</v>
      </c>
      <c r="V15" s="67">
        <v>548.5</v>
      </c>
    </row>
    <row r="16" spans="1:22" s="67" customFormat="1" ht="12.75">
      <c r="A16" s="68">
        <v>9</v>
      </c>
      <c r="B16" s="188" t="s">
        <v>187</v>
      </c>
      <c r="C16" s="34">
        <v>1981</v>
      </c>
      <c r="D16" s="34" t="s">
        <v>120</v>
      </c>
      <c r="E16" s="34">
        <v>46</v>
      </c>
      <c r="F16" s="188">
        <v>1</v>
      </c>
      <c r="G16" s="188">
        <v>1</v>
      </c>
      <c r="H16" s="214">
        <v>8</v>
      </c>
      <c r="I16" s="216">
        <v>389.2</v>
      </c>
      <c r="J16" s="215">
        <v>443.7</v>
      </c>
      <c r="K16" s="216">
        <f t="shared" si="0"/>
        <v>54.5</v>
      </c>
      <c r="L16" s="217">
        <f>сант!N22</f>
        <v>1.824907869980551</v>
      </c>
      <c r="M16" s="217">
        <f>элек!O22</f>
        <v>1.8519699042027422</v>
      </c>
      <c r="N16" s="218">
        <f>паспотист!N18</f>
        <v>0.26</v>
      </c>
      <c r="O16" s="218">
        <f>авар!N22</f>
        <v>0.23643731665645853</v>
      </c>
      <c r="P16" s="82">
        <f>ОЦР!N18</f>
        <v>6.940302036906949</v>
      </c>
      <c r="Q16" s="218">
        <f t="shared" si="1"/>
        <v>11.1136171277467</v>
      </c>
      <c r="R16" s="219">
        <f t="shared" si="3"/>
        <v>0.555680856387335</v>
      </c>
      <c r="S16" s="220">
        <f t="shared" si="2"/>
        <v>11.669297984134035</v>
      </c>
      <c r="T16" s="67">
        <v>4090</v>
      </c>
      <c r="U16" s="67">
        <v>5.8</v>
      </c>
      <c r="V16" s="67">
        <v>705.2</v>
      </c>
    </row>
    <row r="17" spans="1:19" s="174" customFormat="1" ht="12.75">
      <c r="A17" s="68">
        <v>10</v>
      </c>
      <c r="B17" s="34" t="s">
        <v>190</v>
      </c>
      <c r="C17" s="34">
        <v>1984</v>
      </c>
      <c r="D17" s="34" t="s">
        <v>120</v>
      </c>
      <c r="E17" s="34">
        <v>40</v>
      </c>
      <c r="F17" s="188">
        <v>2</v>
      </c>
      <c r="G17" s="188">
        <v>1</v>
      </c>
      <c r="H17" s="214">
        <v>8</v>
      </c>
      <c r="I17" s="214">
        <v>329.7</v>
      </c>
      <c r="J17" s="216">
        <v>375.9</v>
      </c>
      <c r="K17" s="216">
        <f t="shared" si="0"/>
        <v>46.19999999999999</v>
      </c>
      <c r="L17" s="217">
        <f>сант!N23</f>
        <v>1.824907869980551</v>
      </c>
      <c r="M17" s="217">
        <f>элек!O23</f>
        <v>1.8532469009227555</v>
      </c>
      <c r="N17" s="218">
        <f>паспотист!N19</f>
        <v>0.26</v>
      </c>
      <c r="O17" s="218">
        <f>авар!N23</f>
        <v>0.23643731665645853</v>
      </c>
      <c r="P17" s="82">
        <f>ОЦР!N19</f>
        <v>6.940302036906949</v>
      </c>
      <c r="Q17" s="218">
        <f t="shared" si="1"/>
        <v>11.114894124466714</v>
      </c>
      <c r="R17" s="219">
        <f t="shared" si="3"/>
        <v>0.5557447062233357</v>
      </c>
      <c r="S17" s="220">
        <f t="shared" si="2"/>
        <v>11.67063883069005</v>
      </c>
    </row>
    <row r="18" spans="1:22" s="73" customFormat="1" ht="12.75">
      <c r="A18" s="68">
        <v>11</v>
      </c>
      <c r="B18" s="188" t="s">
        <v>193</v>
      </c>
      <c r="C18" s="34">
        <v>1986</v>
      </c>
      <c r="D18" s="34" t="s">
        <v>120</v>
      </c>
      <c r="E18" s="34">
        <v>36</v>
      </c>
      <c r="F18" s="188">
        <v>2</v>
      </c>
      <c r="G18" s="188">
        <v>2</v>
      </c>
      <c r="H18" s="214">
        <v>12</v>
      </c>
      <c r="I18" s="216">
        <v>513.4</v>
      </c>
      <c r="J18" s="216">
        <v>585.3</v>
      </c>
      <c r="K18" s="216">
        <f t="shared" si="0"/>
        <v>71.89999999999998</v>
      </c>
      <c r="L18" s="217">
        <f>сант!N24</f>
        <v>1.824907869980551</v>
      </c>
      <c r="M18" s="217">
        <f>элек!O24</f>
        <v>1.8521803831574122</v>
      </c>
      <c r="N18" s="218">
        <f>паспотист!N20</f>
        <v>0.26</v>
      </c>
      <c r="O18" s="218">
        <f>авар!N24</f>
        <v>0.23643731665645853</v>
      </c>
      <c r="P18" s="82">
        <f>ОЦР!N20</f>
        <v>6.940302036906949</v>
      </c>
      <c r="Q18" s="218">
        <f>SUM(L18:P18)</f>
        <v>11.11382760670137</v>
      </c>
      <c r="R18" s="219">
        <f t="shared" si="3"/>
        <v>0.5556913803350686</v>
      </c>
      <c r="S18" s="220">
        <f>Q18+R18</f>
        <v>11.669518987036438</v>
      </c>
      <c r="T18" s="73">
        <v>5641</v>
      </c>
      <c r="U18" s="73">
        <v>5.7</v>
      </c>
      <c r="V18" s="73">
        <v>989.6</v>
      </c>
    </row>
    <row r="19" spans="1:19" s="73" customFormat="1" ht="12.75">
      <c r="A19" s="68">
        <v>12</v>
      </c>
      <c r="B19" s="227" t="s">
        <v>256</v>
      </c>
      <c r="C19" s="228"/>
      <c r="D19" s="228"/>
      <c r="E19" s="228"/>
      <c r="F19" s="227">
        <v>2</v>
      </c>
      <c r="G19" s="227">
        <v>2</v>
      </c>
      <c r="H19" s="229">
        <v>8</v>
      </c>
      <c r="I19" s="230">
        <v>371.4</v>
      </c>
      <c r="J19" s="230">
        <v>410.8</v>
      </c>
      <c r="K19" s="230">
        <f t="shared" si="0"/>
        <v>39.400000000000034</v>
      </c>
      <c r="L19" s="217">
        <f>сант!N25</f>
        <v>1.824907869980551</v>
      </c>
      <c r="M19" s="217">
        <f>элек!O25</f>
        <v>1.4030223086757714</v>
      </c>
      <c r="N19" s="218">
        <f>паспотист!N21</f>
        <v>0.26</v>
      </c>
      <c r="O19" s="218">
        <f>авар!N25</f>
        <v>0.2364373166564585</v>
      </c>
      <c r="P19" s="82">
        <f>ОЦР!N21</f>
        <v>6.940302036906949</v>
      </c>
      <c r="Q19" s="218">
        <f aca="true" t="shared" si="4" ref="Q19:Q39">SUM(L19:P19)</f>
        <v>10.66466953221973</v>
      </c>
      <c r="R19" s="219">
        <f t="shared" si="3"/>
        <v>0.5332334766109865</v>
      </c>
      <c r="S19" s="220">
        <f aca="true" t="shared" si="5" ref="S19:S39">Q19+R19</f>
        <v>11.197903008830716</v>
      </c>
    </row>
    <row r="20" spans="1:19" s="73" customFormat="1" ht="12.75">
      <c r="A20" s="68">
        <v>13</v>
      </c>
      <c r="B20" s="227" t="s">
        <v>257</v>
      </c>
      <c r="C20" s="228"/>
      <c r="D20" s="228"/>
      <c r="E20" s="228"/>
      <c r="F20" s="227">
        <v>2</v>
      </c>
      <c r="G20" s="227">
        <v>1</v>
      </c>
      <c r="H20" s="229">
        <v>10</v>
      </c>
      <c r="I20" s="230">
        <v>340.1</v>
      </c>
      <c r="J20" s="230">
        <v>377.8</v>
      </c>
      <c r="K20" s="230">
        <f t="shared" si="0"/>
        <v>37.69999999999999</v>
      </c>
      <c r="L20" s="217">
        <f>сант!N26</f>
        <v>1.824907869980551</v>
      </c>
      <c r="M20" s="217">
        <f>элек!O26</f>
        <v>1.466037139059594</v>
      </c>
      <c r="N20" s="218">
        <f>паспотист!N22</f>
        <v>0.26</v>
      </c>
      <c r="O20" s="218">
        <f>авар!N26</f>
        <v>0.23643731665645853</v>
      </c>
      <c r="P20" s="82">
        <f>ОЦР!N22</f>
        <v>6.940302036906949</v>
      </c>
      <c r="Q20" s="218">
        <f t="shared" si="4"/>
        <v>10.727684362603553</v>
      </c>
      <c r="R20" s="219">
        <f t="shared" si="3"/>
        <v>0.5363842181301777</v>
      </c>
      <c r="S20" s="220">
        <f t="shared" si="5"/>
        <v>11.26406858073373</v>
      </c>
    </row>
    <row r="21" spans="1:19" s="73" customFormat="1" ht="12.75">
      <c r="A21" s="68">
        <v>14</v>
      </c>
      <c r="B21" s="227" t="s">
        <v>258</v>
      </c>
      <c r="C21" s="228"/>
      <c r="D21" s="228"/>
      <c r="E21" s="228"/>
      <c r="F21" s="227">
        <v>2</v>
      </c>
      <c r="G21" s="227"/>
      <c r="H21" s="229">
        <v>4</v>
      </c>
      <c r="I21" s="230">
        <v>270.5</v>
      </c>
      <c r="J21" s="230">
        <v>310.8</v>
      </c>
      <c r="K21" s="230">
        <f t="shared" si="0"/>
        <v>40.30000000000001</v>
      </c>
      <c r="L21" s="217">
        <f>сант!N27</f>
        <v>1.824907869980551</v>
      </c>
      <c r="M21" s="217">
        <f>элек!O27</f>
        <v>1.970371108524344</v>
      </c>
      <c r="N21" s="218">
        <f>паспотист!N23</f>
        <v>0.26</v>
      </c>
      <c r="O21" s="218">
        <f>авар!N27</f>
        <v>0.23643731665645853</v>
      </c>
      <c r="P21" s="82">
        <f>ОЦР!N23</f>
        <v>6.940302036906949</v>
      </c>
      <c r="Q21" s="218">
        <f t="shared" si="4"/>
        <v>11.232018332068304</v>
      </c>
      <c r="R21" s="219">
        <f t="shared" si="3"/>
        <v>0.5616009166034152</v>
      </c>
      <c r="S21" s="220">
        <f t="shared" si="5"/>
        <v>11.79361924867172</v>
      </c>
    </row>
    <row r="22" spans="1:19" s="73" customFormat="1" ht="12.75">
      <c r="A22" s="68">
        <v>15</v>
      </c>
      <c r="B22" s="227" t="s">
        <v>259</v>
      </c>
      <c r="C22" s="228"/>
      <c r="D22" s="228"/>
      <c r="E22" s="228"/>
      <c r="F22" s="227">
        <v>2</v>
      </c>
      <c r="G22" s="227">
        <v>2</v>
      </c>
      <c r="H22" s="229">
        <v>8</v>
      </c>
      <c r="I22" s="230">
        <v>508.9</v>
      </c>
      <c r="J22" s="230">
        <v>610.1</v>
      </c>
      <c r="K22" s="230">
        <f t="shared" si="0"/>
        <v>101.20000000000005</v>
      </c>
      <c r="L22" s="217">
        <f>сант!N28</f>
        <v>1.824907869980551</v>
      </c>
      <c r="M22" s="217">
        <f>элек!O28</f>
        <v>2.6300155469569955</v>
      </c>
      <c r="N22" s="218">
        <f>паспотист!N24</f>
        <v>0.26</v>
      </c>
      <c r="O22" s="218">
        <f>авар!N28</f>
        <v>0.23643731665645853</v>
      </c>
      <c r="P22" s="82">
        <f>ОЦР!N24</f>
        <v>6.940302036906949</v>
      </c>
      <c r="Q22" s="218">
        <f t="shared" si="4"/>
        <v>11.891662770500954</v>
      </c>
      <c r="R22" s="219">
        <f t="shared" si="3"/>
        <v>0.5945831385250477</v>
      </c>
      <c r="S22" s="220">
        <f t="shared" si="5"/>
        <v>12.486245909026001</v>
      </c>
    </row>
    <row r="23" spans="1:19" s="73" customFormat="1" ht="12.75">
      <c r="A23" s="68">
        <v>16</v>
      </c>
      <c r="B23" s="227" t="s">
        <v>260</v>
      </c>
      <c r="C23" s="228"/>
      <c r="D23" s="228"/>
      <c r="E23" s="228"/>
      <c r="F23" s="227">
        <v>1</v>
      </c>
      <c r="G23" s="227">
        <v>1</v>
      </c>
      <c r="H23" s="229">
        <v>10</v>
      </c>
      <c r="I23" s="230">
        <v>668.9</v>
      </c>
      <c r="J23" s="230">
        <v>717.7</v>
      </c>
      <c r="K23" s="230">
        <f t="shared" si="0"/>
        <v>48.80000000000007</v>
      </c>
      <c r="L23" s="217">
        <f>сант!N29</f>
        <v>1.824907869980551</v>
      </c>
      <c r="M23" s="217">
        <f>элек!O29</f>
        <v>0.9648701705724329</v>
      </c>
      <c r="N23" s="218">
        <f>паспотист!N25</f>
        <v>0.25999999999999995</v>
      </c>
      <c r="O23" s="218">
        <f>авар!N29</f>
        <v>0.23643731665645853</v>
      </c>
      <c r="P23" s="82">
        <f>ОЦР!N25</f>
        <v>6.940302036906949</v>
      </c>
      <c r="Q23" s="218">
        <f t="shared" si="4"/>
        <v>10.22651739411639</v>
      </c>
      <c r="R23" s="219">
        <f t="shared" si="3"/>
        <v>0.5113258697058195</v>
      </c>
      <c r="S23" s="220">
        <f t="shared" si="5"/>
        <v>10.73784326382221</v>
      </c>
    </row>
    <row r="24" spans="1:19" s="73" customFormat="1" ht="12.75">
      <c r="A24" s="68">
        <v>17</v>
      </c>
      <c r="B24" s="227" t="s">
        <v>261</v>
      </c>
      <c r="C24" s="228"/>
      <c r="D24" s="228"/>
      <c r="E24" s="228"/>
      <c r="F24" s="227">
        <v>2</v>
      </c>
      <c r="G24" s="227">
        <v>0</v>
      </c>
      <c r="H24" s="229">
        <v>6</v>
      </c>
      <c r="I24" s="230">
        <v>266.1</v>
      </c>
      <c r="J24" s="230">
        <v>326.6</v>
      </c>
      <c r="K24" s="230">
        <f t="shared" si="0"/>
        <v>60.5</v>
      </c>
      <c r="L24" s="217">
        <f>сант!N30</f>
        <v>1.824907869980551</v>
      </c>
      <c r="M24" s="217">
        <f>элек!O30</f>
        <v>3.0069122490544893</v>
      </c>
      <c r="N24" s="218">
        <f>паспотист!N26</f>
        <v>0.26</v>
      </c>
      <c r="O24" s="218">
        <f>авар!N30</f>
        <v>0.23643731665645853</v>
      </c>
      <c r="P24" s="82">
        <f>ОЦР!N26</f>
        <v>6.940302036906949</v>
      </c>
      <c r="Q24" s="218">
        <f t="shared" si="4"/>
        <v>12.268559472598447</v>
      </c>
      <c r="R24" s="219">
        <f t="shared" si="3"/>
        <v>0.6134279736299224</v>
      </c>
      <c r="S24" s="220">
        <f t="shared" si="5"/>
        <v>12.88198744622837</v>
      </c>
    </row>
    <row r="25" spans="1:19" s="73" customFormat="1" ht="12.75">
      <c r="A25" s="68">
        <v>18</v>
      </c>
      <c r="B25" s="188" t="s">
        <v>262</v>
      </c>
      <c r="C25" s="228"/>
      <c r="D25" s="228"/>
      <c r="E25" s="228"/>
      <c r="F25" s="227">
        <v>2</v>
      </c>
      <c r="G25" s="227">
        <v>1</v>
      </c>
      <c r="H25" s="229">
        <v>8</v>
      </c>
      <c r="I25" s="230">
        <v>331.1</v>
      </c>
      <c r="J25" s="230">
        <v>363.8</v>
      </c>
      <c r="K25" s="230">
        <f t="shared" si="0"/>
        <v>32.69999999999999</v>
      </c>
      <c r="L25" s="217">
        <f>сант!N31</f>
        <v>1.824907869980551</v>
      </c>
      <c r="M25" s="217">
        <f>элек!O31</f>
        <v>1.3061673573827368</v>
      </c>
      <c r="N25" s="218">
        <f>паспотист!N27</f>
        <v>0.26</v>
      </c>
      <c r="O25" s="218">
        <f>авар!N31</f>
        <v>0.23643731665645853</v>
      </c>
      <c r="P25" s="82">
        <f>ОЦР!N27</f>
        <v>6.940302036906949</v>
      </c>
      <c r="Q25" s="218">
        <f t="shared" si="4"/>
        <v>10.567814580926695</v>
      </c>
      <c r="R25" s="219">
        <f t="shared" si="3"/>
        <v>0.5283907290463348</v>
      </c>
      <c r="S25" s="220">
        <f t="shared" si="5"/>
        <v>11.09620530997303</v>
      </c>
    </row>
    <row r="26" spans="1:19" s="73" customFormat="1" ht="12.75">
      <c r="A26" s="68">
        <v>19</v>
      </c>
      <c r="B26" s="188" t="s">
        <v>263</v>
      </c>
      <c r="C26" s="228"/>
      <c r="D26" s="228"/>
      <c r="E26" s="228"/>
      <c r="F26" s="227">
        <v>2</v>
      </c>
      <c r="G26" s="227">
        <v>1</v>
      </c>
      <c r="H26" s="229">
        <v>8</v>
      </c>
      <c r="I26" s="230">
        <v>335.1</v>
      </c>
      <c r="J26" s="230">
        <v>361.4</v>
      </c>
      <c r="K26" s="230">
        <f t="shared" si="0"/>
        <v>26.299999999999955</v>
      </c>
      <c r="L26" s="217">
        <f>сант!N32</f>
        <v>1.824907869980551</v>
      </c>
      <c r="M26" s="217">
        <f>элек!O32</f>
        <v>1.0379861884647916</v>
      </c>
      <c r="N26" s="218">
        <f>паспотист!N28</f>
        <v>0.26</v>
      </c>
      <c r="O26" s="218">
        <f>авар!N32</f>
        <v>0.23643731665645853</v>
      </c>
      <c r="P26" s="82">
        <f>ОЦР!N28</f>
        <v>6.940302036906949</v>
      </c>
      <c r="Q26" s="218">
        <f t="shared" si="4"/>
        <v>10.299633412008749</v>
      </c>
      <c r="R26" s="219">
        <f t="shared" si="3"/>
        <v>0.5149816706004374</v>
      </c>
      <c r="S26" s="220">
        <f t="shared" si="5"/>
        <v>10.814615082609187</v>
      </c>
    </row>
    <row r="27" spans="1:19" s="73" customFormat="1" ht="12.75">
      <c r="A27" s="68">
        <v>20</v>
      </c>
      <c r="B27" s="227" t="s">
        <v>264</v>
      </c>
      <c r="C27" s="228"/>
      <c r="D27" s="228"/>
      <c r="E27" s="228"/>
      <c r="F27" s="227">
        <v>2</v>
      </c>
      <c r="G27" s="227">
        <v>1</v>
      </c>
      <c r="H27" s="229">
        <v>8</v>
      </c>
      <c r="I27" s="230">
        <v>336.9</v>
      </c>
      <c r="J27" s="230">
        <v>376.9</v>
      </c>
      <c r="K27" s="230">
        <f t="shared" si="0"/>
        <v>40</v>
      </c>
      <c r="L27" s="217">
        <f>сант!N33</f>
        <v>1.824907869980551</v>
      </c>
      <c r="M27" s="217">
        <f>элек!O33</f>
        <v>1.5702515634252012</v>
      </c>
      <c r="N27" s="218">
        <f>паспотист!N29</f>
        <v>0.26</v>
      </c>
      <c r="O27" s="218">
        <f>авар!N33</f>
        <v>0.23643731665645853</v>
      </c>
      <c r="P27" s="82">
        <f>ОЦР!N29</f>
        <v>6.940302036906949</v>
      </c>
      <c r="Q27" s="218">
        <f t="shared" si="4"/>
        <v>10.831898786969159</v>
      </c>
      <c r="R27" s="219">
        <f t="shared" si="3"/>
        <v>0.5415949393484579</v>
      </c>
      <c r="S27" s="220">
        <f t="shared" si="5"/>
        <v>11.373493726317617</v>
      </c>
    </row>
    <row r="28" spans="1:19" s="73" customFormat="1" ht="12.75">
      <c r="A28" s="68">
        <v>21</v>
      </c>
      <c r="B28" s="227" t="s">
        <v>265</v>
      </c>
      <c r="C28" s="228"/>
      <c r="D28" s="228"/>
      <c r="E28" s="228"/>
      <c r="F28" s="227">
        <v>2</v>
      </c>
      <c r="G28" s="227">
        <v>1</v>
      </c>
      <c r="H28" s="229">
        <v>10</v>
      </c>
      <c r="I28" s="230">
        <v>328.3</v>
      </c>
      <c r="J28" s="230">
        <v>370.5</v>
      </c>
      <c r="K28" s="230">
        <f t="shared" si="0"/>
        <v>42.19999999999999</v>
      </c>
      <c r="L28" s="217">
        <f>сант!N34</f>
        <v>1.824907869980551</v>
      </c>
      <c r="M28" s="217">
        <f>элек!O34</f>
        <v>1.700011355657744</v>
      </c>
      <c r="N28" s="218">
        <f>паспотист!N30</f>
        <v>0.26</v>
      </c>
      <c r="O28" s="218">
        <f>авар!N34</f>
        <v>0.23643731665645853</v>
      </c>
      <c r="P28" s="82">
        <f>ОЦР!N30</f>
        <v>6.940302036906949</v>
      </c>
      <c r="Q28" s="218">
        <f t="shared" si="4"/>
        <v>10.961658579201703</v>
      </c>
      <c r="R28" s="219">
        <f t="shared" si="3"/>
        <v>0.5480829289600851</v>
      </c>
      <c r="S28" s="220">
        <f t="shared" si="5"/>
        <v>11.509741508161788</v>
      </c>
    </row>
    <row r="29" spans="1:19" s="73" customFormat="1" ht="12.75">
      <c r="A29" s="68">
        <v>22</v>
      </c>
      <c r="B29" s="227" t="s">
        <v>266</v>
      </c>
      <c r="C29" s="228"/>
      <c r="D29" s="228"/>
      <c r="E29" s="228"/>
      <c r="F29" s="227">
        <v>2</v>
      </c>
      <c r="G29" s="227">
        <v>1</v>
      </c>
      <c r="H29" s="229">
        <v>12</v>
      </c>
      <c r="I29" s="230">
        <v>328.6</v>
      </c>
      <c r="J29" s="230">
        <v>361.5</v>
      </c>
      <c r="K29" s="230">
        <f t="shared" si="0"/>
        <v>32.89999999999998</v>
      </c>
      <c r="L29" s="217">
        <f>сант!N35</f>
        <v>1.824907869980551</v>
      </c>
      <c r="M29" s="217">
        <f>элек!O35</f>
        <v>1.3241542933293176</v>
      </c>
      <c r="N29" s="218">
        <f>паспотист!N31</f>
        <v>0.26000000000000006</v>
      </c>
      <c r="O29" s="218">
        <f>авар!N35</f>
        <v>0.23643731665645853</v>
      </c>
      <c r="P29" s="82">
        <f>ОЦР!N31</f>
        <v>6.940302036906949</v>
      </c>
      <c r="Q29" s="218">
        <f t="shared" si="4"/>
        <v>10.585801516873275</v>
      </c>
      <c r="R29" s="219">
        <f t="shared" si="3"/>
        <v>0.5292900758436637</v>
      </c>
      <c r="S29" s="220">
        <f t="shared" si="5"/>
        <v>11.115091592716938</v>
      </c>
    </row>
    <row r="30" spans="1:19" s="73" customFormat="1" ht="12.75">
      <c r="A30" s="68">
        <v>23</v>
      </c>
      <c r="B30" s="227" t="s">
        <v>267</v>
      </c>
      <c r="C30" s="228"/>
      <c r="D30" s="228"/>
      <c r="E30" s="228"/>
      <c r="F30" s="227">
        <v>2</v>
      </c>
      <c r="G30" s="227"/>
      <c r="H30" s="229">
        <v>6</v>
      </c>
      <c r="I30" s="230">
        <v>234.1</v>
      </c>
      <c r="J30" s="230">
        <v>257.5</v>
      </c>
      <c r="K30" s="230">
        <f t="shared" si="0"/>
        <v>23.400000000000006</v>
      </c>
      <c r="L30" s="217">
        <f>сант!N36</f>
        <v>1.824907869980551</v>
      </c>
      <c r="M30" s="217">
        <f>элек!O36</f>
        <v>1.3219794308201667</v>
      </c>
      <c r="N30" s="218">
        <f>паспотист!N32</f>
        <v>0.26</v>
      </c>
      <c r="O30" s="218">
        <f>авар!N36</f>
        <v>0.23643731665645853</v>
      </c>
      <c r="P30" s="82">
        <f>ОЦР!N32</f>
        <v>6.940302036906949</v>
      </c>
      <c r="Q30" s="218">
        <f t="shared" si="4"/>
        <v>10.583626654364124</v>
      </c>
      <c r="R30" s="219">
        <f t="shared" si="3"/>
        <v>0.5291813327182062</v>
      </c>
      <c r="S30" s="220">
        <f t="shared" si="5"/>
        <v>11.11280798708233</v>
      </c>
    </row>
    <row r="31" spans="1:19" s="73" customFormat="1" ht="12.75">
      <c r="A31" s="68">
        <v>24</v>
      </c>
      <c r="B31" s="34" t="s">
        <v>190</v>
      </c>
      <c r="C31" s="228"/>
      <c r="D31" s="228"/>
      <c r="E31" s="228"/>
      <c r="F31" s="227">
        <v>2</v>
      </c>
      <c r="G31" s="227">
        <v>1</v>
      </c>
      <c r="H31" s="229">
        <v>8</v>
      </c>
      <c r="I31" s="230">
        <v>329.1</v>
      </c>
      <c r="J31" s="230">
        <v>372.5</v>
      </c>
      <c r="K31" s="230">
        <f t="shared" si="0"/>
        <v>43.39999999999998</v>
      </c>
      <c r="L31" s="217">
        <f>сант!N37</f>
        <v>1.824907869980551</v>
      </c>
      <c r="M31" s="217">
        <f>элек!O37</f>
        <v>1.74410288852621</v>
      </c>
      <c r="N31" s="218">
        <f>паспотист!N33</f>
        <v>0.26</v>
      </c>
      <c r="O31" s="218">
        <f>авар!N37</f>
        <v>0.23643731665645853</v>
      </c>
      <c r="P31" s="82">
        <f>ОЦР!N33</f>
        <v>6.940302036906949</v>
      </c>
      <c r="Q31" s="218">
        <f t="shared" si="4"/>
        <v>11.005750112070167</v>
      </c>
      <c r="R31" s="219">
        <f t="shared" si="3"/>
        <v>0.5502875056035084</v>
      </c>
      <c r="S31" s="220">
        <f t="shared" si="5"/>
        <v>11.556037617673676</v>
      </c>
    </row>
    <row r="32" spans="1:19" s="73" customFormat="1" ht="12.75">
      <c r="A32" s="68">
        <v>25</v>
      </c>
      <c r="B32" s="227" t="s">
        <v>268</v>
      </c>
      <c r="C32" s="228"/>
      <c r="D32" s="228"/>
      <c r="E32" s="228"/>
      <c r="F32" s="227">
        <v>2</v>
      </c>
      <c r="G32" s="227">
        <v>2</v>
      </c>
      <c r="H32" s="229">
        <v>12</v>
      </c>
      <c r="I32" s="230">
        <v>516.6</v>
      </c>
      <c r="J32" s="230">
        <v>578.8</v>
      </c>
      <c r="K32" s="230">
        <f t="shared" si="0"/>
        <v>62.19999999999993</v>
      </c>
      <c r="L32" s="217">
        <f>сант!N38</f>
        <v>1.824907869980551</v>
      </c>
      <c r="M32" s="217">
        <f>элек!O38</f>
        <v>1.5923782499446606</v>
      </c>
      <c r="N32" s="218">
        <f>паспотист!N34</f>
        <v>0.26</v>
      </c>
      <c r="O32" s="218">
        <f>авар!N38</f>
        <v>0.23643731665645853</v>
      </c>
      <c r="P32" s="82">
        <f>ОЦР!N34</f>
        <v>6.940302036906949</v>
      </c>
      <c r="Q32" s="218">
        <f t="shared" si="4"/>
        <v>10.854025473488619</v>
      </c>
      <c r="R32" s="219">
        <f t="shared" si="3"/>
        <v>0.542701273674431</v>
      </c>
      <c r="S32" s="220">
        <f t="shared" si="5"/>
        <v>11.39672674716305</v>
      </c>
    </row>
    <row r="33" spans="1:19" s="73" customFormat="1" ht="12.75">
      <c r="A33" s="68">
        <v>26</v>
      </c>
      <c r="B33" s="227" t="s">
        <v>269</v>
      </c>
      <c r="C33" s="228"/>
      <c r="D33" s="228"/>
      <c r="E33" s="228"/>
      <c r="F33" s="227">
        <v>2</v>
      </c>
      <c r="G33" s="227">
        <v>2</v>
      </c>
      <c r="H33" s="229">
        <v>12</v>
      </c>
      <c r="I33" s="230">
        <v>498</v>
      </c>
      <c r="J33" s="230">
        <v>540.4</v>
      </c>
      <c r="K33" s="230">
        <f t="shared" si="0"/>
        <v>42.39999999999998</v>
      </c>
      <c r="L33" s="217">
        <f>сант!N39</f>
        <v>1.824907869980551</v>
      </c>
      <c r="M33" s="217">
        <f>элек!O39</f>
        <v>1.1260217205241505</v>
      </c>
      <c r="N33" s="218">
        <f>паспотист!N35</f>
        <v>0.26</v>
      </c>
      <c r="O33" s="218">
        <f>авар!N39</f>
        <v>0.2364373166564586</v>
      </c>
      <c r="P33" s="82">
        <f>ОЦР!N35</f>
        <v>6.940302036906949</v>
      </c>
      <c r="Q33" s="218">
        <f t="shared" si="4"/>
        <v>10.387668944068109</v>
      </c>
      <c r="R33" s="219">
        <f t="shared" si="3"/>
        <v>0.5193834472034055</v>
      </c>
      <c r="S33" s="220">
        <f t="shared" si="5"/>
        <v>10.907052391271515</v>
      </c>
    </row>
    <row r="34" spans="1:19" s="73" customFormat="1" ht="12.75">
      <c r="A34" s="68">
        <v>27</v>
      </c>
      <c r="B34" s="227" t="s">
        <v>193</v>
      </c>
      <c r="C34" s="228"/>
      <c r="D34" s="228"/>
      <c r="E34" s="228"/>
      <c r="F34" s="227">
        <v>2</v>
      </c>
      <c r="G34" s="227">
        <v>2</v>
      </c>
      <c r="H34" s="229">
        <v>12</v>
      </c>
      <c r="I34" s="230">
        <v>513.4</v>
      </c>
      <c r="J34" s="230">
        <v>584.1</v>
      </c>
      <c r="K34" s="230">
        <f t="shared" si="0"/>
        <v>70.70000000000005</v>
      </c>
      <c r="L34" s="217">
        <f>сант!N40</f>
        <v>1.824907869980551</v>
      </c>
      <c r="M34" s="217">
        <f>элек!O40</f>
        <v>1.8212677759280826</v>
      </c>
      <c r="N34" s="218">
        <f>паспотист!N36</f>
        <v>0.26</v>
      </c>
      <c r="O34" s="218">
        <f>авар!N40</f>
        <v>0.23643731665645853</v>
      </c>
      <c r="P34" s="82">
        <f>ОЦР!N36</f>
        <v>6.940302036906949</v>
      </c>
      <c r="Q34" s="218">
        <f t="shared" si="4"/>
        <v>11.082914999472042</v>
      </c>
      <c r="R34" s="219">
        <f t="shared" si="3"/>
        <v>0.5541457499736021</v>
      </c>
      <c r="S34" s="220">
        <f t="shared" si="5"/>
        <v>11.637060749445643</v>
      </c>
    </row>
    <row r="35" spans="1:19" s="73" customFormat="1" ht="12.75">
      <c r="A35" s="68">
        <v>28</v>
      </c>
      <c r="B35" s="227" t="s">
        <v>270</v>
      </c>
      <c r="C35" s="228"/>
      <c r="D35" s="228"/>
      <c r="E35" s="228"/>
      <c r="F35" s="227">
        <v>2</v>
      </c>
      <c r="G35" s="227">
        <v>3</v>
      </c>
      <c r="H35" s="229">
        <v>12</v>
      </c>
      <c r="I35" s="230">
        <v>522.8</v>
      </c>
      <c r="J35" s="230">
        <v>578.8</v>
      </c>
      <c r="K35" s="230">
        <f t="shared" si="0"/>
        <v>56</v>
      </c>
      <c r="L35" s="217">
        <f>сант!N41</f>
        <v>1.824907869980551</v>
      </c>
      <c r="M35" s="217">
        <f>элек!O41</f>
        <v>1.4166504445392702</v>
      </c>
      <c r="N35" s="218">
        <f>паспотист!N37</f>
        <v>0.26</v>
      </c>
      <c r="O35" s="218">
        <f>авар!N41</f>
        <v>0.23643731665645853</v>
      </c>
      <c r="P35" s="82">
        <f>ОЦР!N37</f>
        <v>6.940302036906949</v>
      </c>
      <c r="Q35" s="218">
        <f t="shared" si="4"/>
        <v>10.678297668083228</v>
      </c>
      <c r="R35" s="219">
        <f t="shared" si="3"/>
        <v>0.5339148834041615</v>
      </c>
      <c r="S35" s="220">
        <f t="shared" si="5"/>
        <v>11.21221255148739</v>
      </c>
    </row>
    <row r="36" spans="1:19" s="73" customFormat="1" ht="12.75">
      <c r="A36" s="68">
        <v>29</v>
      </c>
      <c r="B36" s="227" t="s">
        <v>271</v>
      </c>
      <c r="C36" s="228"/>
      <c r="D36" s="228"/>
      <c r="E36" s="228"/>
      <c r="F36" s="227">
        <v>2</v>
      </c>
      <c r="G36" s="227">
        <v>1</v>
      </c>
      <c r="H36" s="229">
        <v>10</v>
      </c>
      <c r="I36" s="230">
        <v>329.9</v>
      </c>
      <c r="J36" s="230">
        <v>363.6</v>
      </c>
      <c r="K36" s="230">
        <f t="shared" si="0"/>
        <v>33.700000000000045</v>
      </c>
      <c r="L36" s="217">
        <f>сант!N42</f>
        <v>1.824907869980551</v>
      </c>
      <c r="M36" s="217">
        <f>элек!O42</f>
        <v>1.35100774726394</v>
      </c>
      <c r="N36" s="218">
        <f>паспотист!N38</f>
        <v>0.26</v>
      </c>
      <c r="O36" s="218">
        <f>авар!N42</f>
        <v>0.23643731665645853</v>
      </c>
      <c r="P36" s="82">
        <f>ОЦР!N38</f>
        <v>6.940302036906949</v>
      </c>
      <c r="Q36" s="218">
        <f t="shared" si="4"/>
        <v>10.612654970807897</v>
      </c>
      <c r="R36" s="219">
        <f t="shared" si="3"/>
        <v>0.5306327485403949</v>
      </c>
      <c r="S36" s="220">
        <f t="shared" si="5"/>
        <v>11.143287719348292</v>
      </c>
    </row>
    <row r="37" spans="1:19" s="73" customFormat="1" ht="12.75">
      <c r="A37" s="68">
        <v>30</v>
      </c>
      <c r="B37" s="227" t="s">
        <v>272</v>
      </c>
      <c r="C37" s="228"/>
      <c r="D37" s="228"/>
      <c r="E37" s="228"/>
      <c r="F37" s="227">
        <v>2</v>
      </c>
      <c r="G37" s="227">
        <v>1</v>
      </c>
      <c r="H37" s="229">
        <v>10</v>
      </c>
      <c r="I37" s="230">
        <v>330.4</v>
      </c>
      <c r="J37" s="230">
        <v>370.1</v>
      </c>
      <c r="K37" s="230">
        <f t="shared" si="0"/>
        <v>39.700000000000045</v>
      </c>
      <c r="L37" s="217">
        <f>сант!N43</f>
        <v>1.824907869980551</v>
      </c>
      <c r="M37" s="217">
        <f>элек!O43</f>
        <v>1.5891347414650918</v>
      </c>
      <c r="N37" s="218">
        <f>паспотист!N39</f>
        <v>0.26</v>
      </c>
      <c r="O37" s="218">
        <f>авар!N43</f>
        <v>0.23643731665645853</v>
      </c>
      <c r="P37" s="82">
        <f>ОЦР!N39</f>
        <v>6.940302036906949</v>
      </c>
      <c r="Q37" s="218">
        <f t="shared" si="4"/>
        <v>10.85078196500905</v>
      </c>
      <c r="R37" s="219">
        <f t="shared" si="3"/>
        <v>0.5425390982504525</v>
      </c>
      <c r="S37" s="220">
        <f t="shared" si="5"/>
        <v>11.393321063259503</v>
      </c>
    </row>
    <row r="38" spans="1:19" s="73" customFormat="1" ht="12.75">
      <c r="A38" s="68">
        <v>31</v>
      </c>
      <c r="B38" s="227" t="s">
        <v>273</v>
      </c>
      <c r="C38" s="228"/>
      <c r="D38" s="228"/>
      <c r="E38" s="228"/>
      <c r="F38" s="227">
        <v>2</v>
      </c>
      <c r="G38" s="227">
        <v>2</v>
      </c>
      <c r="H38" s="229">
        <v>12</v>
      </c>
      <c r="I38" s="230">
        <v>601</v>
      </c>
      <c r="J38" s="230">
        <v>661.1</v>
      </c>
      <c r="K38" s="230">
        <f t="shared" si="0"/>
        <v>60.10000000000002</v>
      </c>
      <c r="L38" s="217">
        <f>сант!N44</f>
        <v>1.824907869980551</v>
      </c>
      <c r="M38" s="217">
        <f>элек!O44</f>
        <v>1.3225443792948763</v>
      </c>
      <c r="N38" s="218">
        <f>паспотист!N40</f>
        <v>0.26</v>
      </c>
      <c r="O38" s="218">
        <f>авар!N44</f>
        <v>0.23643731665645853</v>
      </c>
      <c r="P38" s="82">
        <f>ОЦР!N40</f>
        <v>6.940302036906949</v>
      </c>
      <c r="Q38" s="218">
        <f t="shared" si="4"/>
        <v>10.584191602838834</v>
      </c>
      <c r="R38" s="219">
        <f t="shared" si="3"/>
        <v>0.5292095801419417</v>
      </c>
      <c r="S38" s="220">
        <f t="shared" si="5"/>
        <v>11.113401182980775</v>
      </c>
    </row>
    <row r="39" spans="1:19" s="73" customFormat="1" ht="13.5" thickBot="1">
      <c r="A39" s="68">
        <v>32</v>
      </c>
      <c r="B39" s="227" t="s">
        <v>274</v>
      </c>
      <c r="C39" s="228"/>
      <c r="D39" s="228"/>
      <c r="E39" s="228"/>
      <c r="F39" s="227">
        <v>2</v>
      </c>
      <c r="G39" s="227">
        <v>2</v>
      </c>
      <c r="H39" s="229">
        <v>12</v>
      </c>
      <c r="I39" s="230">
        <v>491.1</v>
      </c>
      <c r="J39" s="230">
        <v>535.1</v>
      </c>
      <c r="K39" s="230">
        <f t="shared" si="0"/>
        <v>44</v>
      </c>
      <c r="L39" s="217">
        <f>сант!N45</f>
        <v>1.824907869980551</v>
      </c>
      <c r="M39" s="217">
        <f>элек!O45</f>
        <v>1.1849308224185406</v>
      </c>
      <c r="N39" s="218">
        <f>паспотист!N41</f>
        <v>0.26</v>
      </c>
      <c r="O39" s="218">
        <f>авар!N45</f>
        <v>0.23643731665645853</v>
      </c>
      <c r="P39" s="82">
        <f>ОЦР!N41</f>
        <v>6.940302036906949</v>
      </c>
      <c r="Q39" s="218">
        <f t="shared" si="4"/>
        <v>10.446578045962498</v>
      </c>
      <c r="R39" s="219">
        <f t="shared" si="3"/>
        <v>0.5223289022981249</v>
      </c>
      <c r="S39" s="220">
        <f t="shared" si="5"/>
        <v>10.968906948260623</v>
      </c>
    </row>
    <row r="40" spans="1:19" s="38" customFormat="1" ht="61.5" customHeight="1" thickBot="1">
      <c r="A40" s="35"/>
      <c r="B40" s="36" t="s">
        <v>123</v>
      </c>
      <c r="C40" s="36"/>
      <c r="D40" s="36"/>
      <c r="E40" s="36"/>
      <c r="F40" s="36"/>
      <c r="G40" s="36">
        <f>SUM(G8:G18)</f>
        <v>13</v>
      </c>
      <c r="H40" s="36">
        <f>SUM(H8:H18)</f>
        <v>100</v>
      </c>
      <c r="I40" s="36">
        <f>SUM(I8:I18)</f>
        <v>3956.0999999999995</v>
      </c>
      <c r="J40" s="36">
        <f>SUM(J8:J18)</f>
        <v>4509.2</v>
      </c>
      <c r="K40" s="36">
        <f>SUM(K8:K18)</f>
        <v>553.0999999999999</v>
      </c>
      <c r="L40" s="72">
        <f>сант!L46</f>
        <v>271730.2417664</v>
      </c>
      <c r="M40" s="72">
        <f>элек!N25</f>
        <v>16.836267704109257</v>
      </c>
      <c r="N40" s="72">
        <f>паспотист!L21</f>
        <v>1158.768</v>
      </c>
      <c r="O40" s="72">
        <f>авар!L25</f>
        <v>1053.7538328745043</v>
      </c>
      <c r="P40" s="36">
        <f>'Прил 2.3 ОЦР '!G28</f>
        <v>1033416.5255370741</v>
      </c>
      <c r="Q40" s="72">
        <f>L40+M40+N40+O40+P40</f>
        <v>1307376.1254040527</v>
      </c>
      <c r="R40" s="226">
        <f>СМЕТА!F39</f>
        <v>81099.8461334937</v>
      </c>
      <c r="S40" s="226">
        <f>Q40+R40</f>
        <v>1388475.9715375463</v>
      </c>
    </row>
    <row r="41" spans="1:20" ht="15.75">
      <c r="A41" s="31"/>
      <c r="B41" s="40"/>
      <c r="C41" s="31"/>
      <c r="D41" s="31"/>
      <c r="E41" s="31"/>
      <c r="F41" s="31"/>
      <c r="G41" s="41"/>
      <c r="H41" s="41"/>
      <c r="I41" s="41"/>
      <c r="J41" s="41"/>
      <c r="K41" s="41"/>
      <c r="Q41" s="103"/>
      <c r="T41" s="187"/>
    </row>
    <row r="44" spans="5:16" s="42" customFormat="1" ht="12.75">
      <c r="E44" s="42" t="e">
        <f>#REF!+#REF!</f>
        <v>#REF!</v>
      </c>
      <c r="L44" s="44"/>
      <c r="M44" s="44"/>
      <c r="P44" s="186"/>
    </row>
  </sheetData>
  <sheetProtection password="81F5" sheet="1"/>
  <mergeCells count="13">
    <mergeCell ref="R3:R6"/>
    <mergeCell ref="S3:S6"/>
    <mergeCell ref="N3:N6"/>
    <mergeCell ref="O3:O6"/>
    <mergeCell ref="E3:E6"/>
    <mergeCell ref="M3:M6"/>
    <mergeCell ref="L3:L6"/>
    <mergeCell ref="K3:K6"/>
    <mergeCell ref="J3:J6"/>
    <mergeCell ref="I3:I6"/>
    <mergeCell ref="A1:M1"/>
    <mergeCell ref="P3:P6"/>
    <mergeCell ref="Q3:Q6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view="pageBreakPreview" zoomScaleSheetLayoutView="100" zoomScalePageLayoutView="0" workbookViewId="0" topLeftCell="A1">
      <pane xSplit="2" ySplit="12" topLeftCell="F39" activePane="bottomRight" state="frozen"/>
      <selection pane="topLeft" activeCell="F37" sqref="F37"/>
      <selection pane="topRight" activeCell="F37" sqref="F37"/>
      <selection pane="bottomLeft" activeCell="F37" sqref="F37"/>
      <selection pane="bottomRight" activeCell="G40" sqref="G40"/>
    </sheetView>
  </sheetViews>
  <sheetFormatPr defaultColWidth="9.00390625" defaultRowHeight="12.75"/>
  <cols>
    <col min="1" max="1" width="5.375" style="42" customWidth="1"/>
    <col min="2" max="2" width="18.625" style="42" customWidth="1"/>
    <col min="3" max="3" width="9.125" style="42" hidden="1" customWidth="1"/>
    <col min="4" max="4" width="13.00390625" style="42" hidden="1" customWidth="1"/>
    <col min="5" max="5" width="6.125" style="42" hidden="1" customWidth="1"/>
    <col min="6" max="6" width="9.75390625" style="42" customWidth="1"/>
    <col min="7" max="7" width="9.625" style="42" customWidth="1"/>
    <col min="8" max="8" width="11.75390625" style="42" customWidth="1"/>
    <col min="9" max="9" width="8.625" style="42" customWidth="1"/>
    <col min="10" max="10" width="13.00390625" style="42" customWidth="1"/>
    <col min="11" max="11" width="11.875" style="42" customWidth="1"/>
    <col min="12" max="12" width="17.00390625" style="44" customWidth="1"/>
    <col min="13" max="13" width="10.25390625" style="44" customWidth="1"/>
    <col min="14" max="14" width="10.875" style="44" customWidth="1"/>
    <col min="15" max="16384" width="9.125" style="44" customWidth="1"/>
  </cols>
  <sheetData>
    <row r="1" spans="1:14" s="28" customFormat="1" ht="48.75" customHeight="1">
      <c r="A1" s="285" t="s">
        <v>158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</row>
    <row r="2" spans="1:14" s="28" customFormat="1" ht="19.5" customHeight="1">
      <c r="A2" s="181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</row>
    <row r="3" spans="1:11" s="28" customFormat="1" ht="15">
      <c r="A3" s="26"/>
      <c r="B3" s="175" t="s">
        <v>299</v>
      </c>
      <c r="C3" s="175"/>
      <c r="D3" s="175"/>
      <c r="E3" s="175"/>
      <c r="F3" s="175"/>
      <c r="G3" s="175"/>
      <c r="H3" s="175"/>
      <c r="I3" s="27"/>
      <c r="J3" s="27"/>
      <c r="K3" s="27"/>
    </row>
    <row r="4" spans="1:11" s="28" customFormat="1" ht="15">
      <c r="A4" s="26"/>
      <c r="B4" s="175" t="s">
        <v>153</v>
      </c>
      <c r="C4" s="175"/>
      <c r="D4" s="175"/>
      <c r="E4" s="175"/>
      <c r="F4" s="175"/>
      <c r="G4" s="175"/>
      <c r="I4" s="175">
        <f>I5+I6+I7</f>
        <v>271730.2417664</v>
      </c>
      <c r="J4" s="27"/>
      <c r="K4" s="27"/>
    </row>
    <row r="5" spans="1:11" s="28" customFormat="1" ht="15">
      <c r="A5" s="26"/>
      <c r="B5" s="175" t="s">
        <v>154</v>
      </c>
      <c r="C5" s="175"/>
      <c r="D5" s="175"/>
      <c r="E5" s="175"/>
      <c r="F5" s="175"/>
      <c r="G5" s="175"/>
      <c r="I5" s="180">
        <f>штат!L29</f>
        <v>177709.5936</v>
      </c>
      <c r="J5" s="27"/>
      <c r="K5" s="27"/>
    </row>
    <row r="6" spans="1:11" s="28" customFormat="1" ht="13.5">
      <c r="A6" s="27"/>
      <c r="B6" s="175" t="s">
        <v>127</v>
      </c>
      <c r="C6" s="175"/>
      <c r="D6" s="175"/>
      <c r="E6" s="175"/>
      <c r="F6" s="175"/>
      <c r="G6" s="175"/>
      <c r="I6" s="175">
        <f>I5*0.349</f>
        <v>62020.648166399995</v>
      </c>
      <c r="J6" s="27"/>
      <c r="K6" s="27"/>
    </row>
    <row r="7" spans="1:11" s="28" customFormat="1" ht="13.5">
      <c r="A7" s="27"/>
      <c r="B7" s="175" t="s">
        <v>134</v>
      </c>
      <c r="C7" s="175"/>
      <c r="D7" s="175"/>
      <c r="E7" s="175"/>
      <c r="F7" s="175"/>
      <c r="G7" s="175"/>
      <c r="I7" s="175">
        <f>32000</f>
        <v>32000</v>
      </c>
      <c r="J7" s="27"/>
      <c r="K7" s="27"/>
    </row>
    <row r="8" spans="1:11" s="28" customFormat="1" ht="14.25" thickBot="1">
      <c r="A8" s="27"/>
      <c r="B8" s="175"/>
      <c r="C8" s="175"/>
      <c r="D8" s="175"/>
      <c r="E8" s="175"/>
      <c r="F8" s="175"/>
      <c r="G8" s="175"/>
      <c r="H8" s="175"/>
      <c r="I8" s="27"/>
      <c r="J8" s="27"/>
      <c r="K8" s="27"/>
    </row>
    <row r="9" spans="1:14" s="28" customFormat="1" ht="29.25" customHeight="1">
      <c r="A9" s="74" t="s">
        <v>102</v>
      </c>
      <c r="B9" s="75" t="s">
        <v>103</v>
      </c>
      <c r="C9" s="76" t="s">
        <v>104</v>
      </c>
      <c r="D9" s="75" t="s">
        <v>105</v>
      </c>
      <c r="E9" s="299" t="s">
        <v>106</v>
      </c>
      <c r="F9" s="75" t="s">
        <v>107</v>
      </c>
      <c r="G9" s="76" t="s">
        <v>107</v>
      </c>
      <c r="H9" s="75" t="s">
        <v>107</v>
      </c>
      <c r="I9" s="77" t="s">
        <v>108</v>
      </c>
      <c r="J9" s="308" t="s">
        <v>156</v>
      </c>
      <c r="K9" s="308" t="s">
        <v>157</v>
      </c>
      <c r="L9" s="302" t="s">
        <v>303</v>
      </c>
      <c r="M9" s="302" t="s">
        <v>301</v>
      </c>
      <c r="N9" s="305" t="s">
        <v>304</v>
      </c>
    </row>
    <row r="10" spans="1:14" s="28" customFormat="1" ht="12.75" customHeight="1">
      <c r="A10" s="70"/>
      <c r="B10" s="30" t="s">
        <v>109</v>
      </c>
      <c r="C10" s="31" t="s">
        <v>110</v>
      </c>
      <c r="D10" s="30" t="s">
        <v>111</v>
      </c>
      <c r="E10" s="300"/>
      <c r="F10" s="30" t="s">
        <v>112</v>
      </c>
      <c r="G10" s="31" t="s">
        <v>113</v>
      </c>
      <c r="H10" s="30" t="s">
        <v>114</v>
      </c>
      <c r="I10" s="29" t="s">
        <v>115</v>
      </c>
      <c r="J10" s="309"/>
      <c r="K10" s="309"/>
      <c r="L10" s="303"/>
      <c r="M10" s="303"/>
      <c r="N10" s="306"/>
    </row>
    <row r="11" spans="1:14" s="28" customFormat="1" ht="12.75">
      <c r="A11" s="70"/>
      <c r="B11" s="30"/>
      <c r="C11" s="31"/>
      <c r="D11" s="30" t="s">
        <v>116</v>
      </c>
      <c r="E11" s="300"/>
      <c r="F11" s="30"/>
      <c r="G11" s="31" t="s">
        <v>117</v>
      </c>
      <c r="H11" s="30"/>
      <c r="I11" s="29" t="s">
        <v>118</v>
      </c>
      <c r="J11" s="309"/>
      <c r="K11" s="309"/>
      <c r="L11" s="303"/>
      <c r="M11" s="303"/>
      <c r="N11" s="306"/>
    </row>
    <row r="12" spans="1:14" s="28" customFormat="1" ht="21.75" customHeight="1" thickBot="1">
      <c r="A12" s="78"/>
      <c r="B12" s="69"/>
      <c r="C12" s="79"/>
      <c r="D12" s="69"/>
      <c r="E12" s="301"/>
      <c r="F12" s="69"/>
      <c r="G12" s="79"/>
      <c r="H12" s="69"/>
      <c r="I12" s="80" t="s">
        <v>119</v>
      </c>
      <c r="J12" s="310"/>
      <c r="K12" s="310"/>
      <c r="L12" s="304"/>
      <c r="M12" s="304"/>
      <c r="N12" s="307"/>
    </row>
    <row r="13" spans="1:14" s="33" customFormat="1" ht="12.75">
      <c r="A13" s="84">
        <v>1</v>
      </c>
      <c r="B13" s="85">
        <v>2</v>
      </c>
      <c r="C13" s="84">
        <v>3</v>
      </c>
      <c r="D13" s="85">
        <v>4</v>
      </c>
      <c r="E13" s="84">
        <v>5</v>
      </c>
      <c r="F13" s="85">
        <v>6</v>
      </c>
      <c r="G13" s="84">
        <v>7</v>
      </c>
      <c r="H13" s="85">
        <v>8</v>
      </c>
      <c r="I13" s="84">
        <v>9</v>
      </c>
      <c r="J13" s="85">
        <v>10</v>
      </c>
      <c r="K13" s="84">
        <v>11</v>
      </c>
      <c r="L13" s="85">
        <v>12</v>
      </c>
      <c r="M13" s="84">
        <v>13</v>
      </c>
      <c r="N13" s="85">
        <v>14</v>
      </c>
    </row>
    <row r="14" spans="1:14" s="33" customFormat="1" ht="12.75">
      <c r="A14" s="68">
        <v>1</v>
      </c>
      <c r="B14" s="188" t="s">
        <v>188</v>
      </c>
      <c r="C14" s="34">
        <v>1982</v>
      </c>
      <c r="D14" s="34" t="s">
        <v>121</v>
      </c>
      <c r="E14" s="34">
        <v>21.2</v>
      </c>
      <c r="F14" s="188">
        <v>2</v>
      </c>
      <c r="G14" s="188">
        <v>1</v>
      </c>
      <c r="H14" s="188">
        <v>10</v>
      </c>
      <c r="I14" s="188">
        <v>336.2</v>
      </c>
      <c r="J14" s="190">
        <v>382.8</v>
      </c>
      <c r="K14" s="34">
        <f aca="true" t="shared" si="0" ref="K14:K45">J14-I14</f>
        <v>46.60000000000002</v>
      </c>
      <c r="L14" s="32">
        <f>L46/I46*I14</f>
        <v>7362.4083106495345</v>
      </c>
      <c r="M14" s="39">
        <f aca="true" t="shared" si="1" ref="M14:M19">L14/I14</f>
        <v>21.89889443976661</v>
      </c>
      <c r="N14" s="81">
        <f>M14/12</f>
        <v>1.824907869980551</v>
      </c>
    </row>
    <row r="15" spans="1:14" s="38" customFormat="1" ht="12.75">
      <c r="A15" s="68">
        <v>2</v>
      </c>
      <c r="B15" s="188" t="s">
        <v>189</v>
      </c>
      <c r="C15" s="34">
        <v>1982</v>
      </c>
      <c r="D15" s="34" t="s">
        <v>120</v>
      </c>
      <c r="E15" s="34">
        <v>44</v>
      </c>
      <c r="F15" s="188">
        <v>2</v>
      </c>
      <c r="G15" s="188">
        <v>1</v>
      </c>
      <c r="H15" s="188">
        <v>9</v>
      </c>
      <c r="I15" s="188">
        <v>334</v>
      </c>
      <c r="J15" s="190">
        <v>380.8</v>
      </c>
      <c r="K15" s="34">
        <f t="shared" si="0"/>
        <v>46.80000000000001</v>
      </c>
      <c r="L15" s="32">
        <f>L46/I46*I15</f>
        <v>7314.230742882048</v>
      </c>
      <c r="M15" s="39">
        <f t="shared" si="1"/>
        <v>21.89889443976661</v>
      </c>
      <c r="N15" s="81">
        <f aca="true" t="shared" si="2" ref="N15:N22">M15/12</f>
        <v>1.824907869980551</v>
      </c>
    </row>
    <row r="16" spans="1:14" s="38" customFormat="1" ht="12.75">
      <c r="A16" s="68">
        <v>3</v>
      </c>
      <c r="B16" s="188" t="s">
        <v>196</v>
      </c>
      <c r="C16" s="37">
        <v>1980</v>
      </c>
      <c r="D16" s="37" t="s">
        <v>122</v>
      </c>
      <c r="E16" s="37">
        <f>19.2+0.8</f>
        <v>20</v>
      </c>
      <c r="F16" s="37">
        <v>2</v>
      </c>
      <c r="G16" s="37">
        <v>1</v>
      </c>
      <c r="H16" s="37">
        <v>4</v>
      </c>
      <c r="I16" s="37">
        <v>240.4</v>
      </c>
      <c r="J16" s="34">
        <v>274</v>
      </c>
      <c r="K16" s="34">
        <f t="shared" si="0"/>
        <v>33.599999999999994</v>
      </c>
      <c r="L16" s="32">
        <f>L46/I46*I16</f>
        <v>5264.4942233198935</v>
      </c>
      <c r="M16" s="39">
        <f t="shared" si="1"/>
        <v>21.89889443976661</v>
      </c>
      <c r="N16" s="81">
        <f t="shared" si="2"/>
        <v>1.824907869980551</v>
      </c>
    </row>
    <row r="17" spans="1:14" s="38" customFormat="1" ht="12.75">
      <c r="A17" s="68">
        <v>4</v>
      </c>
      <c r="B17" s="189" t="s">
        <v>194</v>
      </c>
      <c r="C17" s="34">
        <v>1999</v>
      </c>
      <c r="D17" s="34" t="s">
        <v>120</v>
      </c>
      <c r="E17" s="34">
        <v>10</v>
      </c>
      <c r="F17" s="189">
        <v>2</v>
      </c>
      <c r="G17" s="189">
        <v>1</v>
      </c>
      <c r="H17" s="189">
        <v>10</v>
      </c>
      <c r="I17" s="189">
        <v>334.6</v>
      </c>
      <c r="J17" s="188">
        <v>381.4</v>
      </c>
      <c r="K17" s="34">
        <f t="shared" si="0"/>
        <v>46.799999999999955</v>
      </c>
      <c r="L17" s="32">
        <f>L46/I46*I17</f>
        <v>7327.370079545908</v>
      </c>
      <c r="M17" s="39">
        <f t="shared" si="1"/>
        <v>21.89889443976661</v>
      </c>
      <c r="N17" s="81">
        <f t="shared" si="2"/>
        <v>1.824907869980551</v>
      </c>
    </row>
    <row r="18" spans="1:14" s="38" customFormat="1" ht="12.75">
      <c r="A18" s="68">
        <v>5</v>
      </c>
      <c r="B18" s="188" t="s">
        <v>195</v>
      </c>
      <c r="C18" s="173"/>
      <c r="D18" s="173"/>
      <c r="E18" s="173"/>
      <c r="F18" s="188">
        <v>2</v>
      </c>
      <c r="G18" s="188">
        <v>1</v>
      </c>
      <c r="H18" s="188">
        <v>10</v>
      </c>
      <c r="I18" s="188">
        <v>340.4</v>
      </c>
      <c r="J18" s="188">
        <v>388.1</v>
      </c>
      <c r="K18" s="34">
        <f t="shared" si="0"/>
        <v>47.700000000000045</v>
      </c>
      <c r="L18" s="32">
        <f>L46/I46*I18</f>
        <v>7454.3836672965535</v>
      </c>
      <c r="M18" s="39">
        <f t="shared" si="1"/>
        <v>21.89889443976661</v>
      </c>
      <c r="N18" s="81">
        <f t="shared" si="2"/>
        <v>1.824907869980551</v>
      </c>
    </row>
    <row r="19" spans="1:14" s="38" customFormat="1" ht="12.75">
      <c r="A19" s="68">
        <v>6</v>
      </c>
      <c r="B19" s="188" t="s">
        <v>191</v>
      </c>
      <c r="C19" s="173">
        <v>1985</v>
      </c>
      <c r="D19" s="173" t="s">
        <v>120</v>
      </c>
      <c r="E19" s="173"/>
      <c r="F19" s="188">
        <v>2</v>
      </c>
      <c r="G19" s="188">
        <v>1</v>
      </c>
      <c r="H19" s="188">
        <v>8</v>
      </c>
      <c r="I19" s="188">
        <v>321.9</v>
      </c>
      <c r="J19" s="188">
        <v>367</v>
      </c>
      <c r="K19" s="173">
        <f t="shared" si="0"/>
        <v>45.10000000000002</v>
      </c>
      <c r="L19" s="32">
        <f>L46/I46*I19</f>
        <v>7049.254120160872</v>
      </c>
      <c r="M19" s="39">
        <f t="shared" si="1"/>
        <v>21.89889443976661</v>
      </c>
      <c r="N19" s="81">
        <f>M19/12</f>
        <v>1.824907869980551</v>
      </c>
    </row>
    <row r="20" spans="1:14" s="67" customFormat="1" ht="12.75">
      <c r="A20" s="68">
        <v>7</v>
      </c>
      <c r="B20" s="188" t="s">
        <v>192</v>
      </c>
      <c r="C20" s="34">
        <v>1983</v>
      </c>
      <c r="D20" s="34" t="s">
        <v>120</v>
      </c>
      <c r="E20" s="34">
        <v>42</v>
      </c>
      <c r="F20" s="188">
        <v>2</v>
      </c>
      <c r="G20" s="188">
        <v>1</v>
      </c>
      <c r="H20" s="188">
        <v>9</v>
      </c>
      <c r="I20" s="188">
        <v>326.6</v>
      </c>
      <c r="J20" s="188">
        <v>371.9</v>
      </c>
      <c r="K20" s="34">
        <f t="shared" si="0"/>
        <v>45.299999999999955</v>
      </c>
      <c r="L20" s="32">
        <f>L46/I46*I20</f>
        <v>7152.178924027776</v>
      </c>
      <c r="M20" s="39">
        <f>L20/I20</f>
        <v>21.89889443976661</v>
      </c>
      <c r="N20" s="81">
        <f t="shared" si="2"/>
        <v>1.824907869980551</v>
      </c>
    </row>
    <row r="21" spans="1:14" s="67" customFormat="1" ht="12.75">
      <c r="A21" s="68">
        <v>8</v>
      </c>
      <c r="B21" s="188" t="s">
        <v>186</v>
      </c>
      <c r="C21" s="34">
        <v>1981</v>
      </c>
      <c r="D21" s="34" t="s">
        <v>120</v>
      </c>
      <c r="E21" s="34">
        <v>46</v>
      </c>
      <c r="F21" s="188">
        <v>2</v>
      </c>
      <c r="G21" s="188">
        <v>2</v>
      </c>
      <c r="H21" s="188">
        <v>12</v>
      </c>
      <c r="I21" s="34">
        <v>489.7</v>
      </c>
      <c r="J21" s="190">
        <v>558.3</v>
      </c>
      <c r="K21" s="34">
        <f t="shared" si="0"/>
        <v>68.59999999999997</v>
      </c>
      <c r="L21" s="32">
        <f>L46/I46*I21</f>
        <v>10723.888607153709</v>
      </c>
      <c r="M21" s="39">
        <f>L21/I21</f>
        <v>21.89889443976661</v>
      </c>
      <c r="N21" s="81">
        <f t="shared" si="2"/>
        <v>1.824907869980551</v>
      </c>
    </row>
    <row r="22" spans="1:14" s="67" customFormat="1" ht="12.75">
      <c r="A22" s="68">
        <v>9</v>
      </c>
      <c r="B22" s="188" t="s">
        <v>187</v>
      </c>
      <c r="C22" s="34">
        <v>1981</v>
      </c>
      <c r="D22" s="34" t="s">
        <v>120</v>
      </c>
      <c r="E22" s="34">
        <v>46</v>
      </c>
      <c r="F22" s="188">
        <v>1</v>
      </c>
      <c r="G22" s="188">
        <v>1</v>
      </c>
      <c r="H22" s="188">
        <v>8</v>
      </c>
      <c r="I22" s="34">
        <v>389.2</v>
      </c>
      <c r="J22" s="190">
        <v>443.7</v>
      </c>
      <c r="K22" s="34">
        <f t="shared" si="0"/>
        <v>54.5</v>
      </c>
      <c r="L22" s="32">
        <f>L46/I46*I22</f>
        <v>8523.049715957164</v>
      </c>
      <c r="M22" s="39">
        <f>L22/I22</f>
        <v>21.89889443976661</v>
      </c>
      <c r="N22" s="81">
        <f t="shared" si="2"/>
        <v>1.824907869980551</v>
      </c>
    </row>
    <row r="23" spans="1:14" s="67" customFormat="1" ht="12.75">
      <c r="A23" s="68">
        <v>10</v>
      </c>
      <c r="B23" s="34" t="s">
        <v>190</v>
      </c>
      <c r="C23" s="34">
        <v>1984</v>
      </c>
      <c r="D23" s="34" t="s">
        <v>120</v>
      </c>
      <c r="E23" s="34">
        <v>40</v>
      </c>
      <c r="F23" s="188">
        <v>2</v>
      </c>
      <c r="G23" s="188">
        <v>1</v>
      </c>
      <c r="H23" s="188">
        <v>8</v>
      </c>
      <c r="I23" s="188">
        <v>329.7</v>
      </c>
      <c r="J23" s="34">
        <v>375.9</v>
      </c>
      <c r="K23" s="34">
        <f t="shared" si="0"/>
        <v>46.19999999999999</v>
      </c>
      <c r="L23" s="32">
        <f>L46/I46*I23</f>
        <v>7220.065496791051</v>
      </c>
      <c r="M23" s="39">
        <f>L23/I23</f>
        <v>21.89889443976661</v>
      </c>
      <c r="N23" s="81">
        <f>M23/12</f>
        <v>1.824907869980551</v>
      </c>
    </row>
    <row r="24" spans="1:14" s="73" customFormat="1" ht="12.75">
      <c r="A24" s="68">
        <v>11</v>
      </c>
      <c r="B24" s="188" t="s">
        <v>193</v>
      </c>
      <c r="C24" s="34">
        <v>1986</v>
      </c>
      <c r="D24" s="34" t="s">
        <v>120</v>
      </c>
      <c r="E24" s="34">
        <v>36</v>
      </c>
      <c r="F24" s="188">
        <v>2</v>
      </c>
      <c r="G24" s="188">
        <v>2</v>
      </c>
      <c r="H24" s="188">
        <v>12</v>
      </c>
      <c r="I24" s="34">
        <v>513.4</v>
      </c>
      <c r="J24" s="34">
        <v>585.3</v>
      </c>
      <c r="K24" s="34">
        <f t="shared" si="0"/>
        <v>71.89999999999998</v>
      </c>
      <c r="L24" s="32">
        <f>L46/I46*I24</f>
        <v>11242.892405376178</v>
      </c>
      <c r="M24" s="39">
        <f aca="true" t="shared" si="3" ref="M24:M45">L24/I24</f>
        <v>21.89889443976661</v>
      </c>
      <c r="N24" s="81">
        <f aca="true" t="shared" si="4" ref="N24:N45">M24/12</f>
        <v>1.824907869980551</v>
      </c>
    </row>
    <row r="25" spans="1:14" s="73" customFormat="1" ht="12.75">
      <c r="A25" s="68">
        <v>12</v>
      </c>
      <c r="B25" s="227" t="s">
        <v>256</v>
      </c>
      <c r="C25" s="228"/>
      <c r="D25" s="228"/>
      <c r="E25" s="228"/>
      <c r="F25" s="227">
        <v>2</v>
      </c>
      <c r="G25" s="227">
        <v>2</v>
      </c>
      <c r="H25" s="229">
        <v>8</v>
      </c>
      <c r="I25" s="230">
        <v>371.4</v>
      </c>
      <c r="J25" s="230">
        <v>410.8</v>
      </c>
      <c r="K25" s="230">
        <f t="shared" si="0"/>
        <v>39.400000000000034</v>
      </c>
      <c r="L25" s="32">
        <f>L46/I46*I25</f>
        <v>8133.249394929318</v>
      </c>
      <c r="M25" s="39">
        <f t="shared" si="3"/>
        <v>21.89889443976661</v>
      </c>
      <c r="N25" s="81">
        <f t="shared" si="4"/>
        <v>1.824907869980551</v>
      </c>
    </row>
    <row r="26" spans="1:14" s="73" customFormat="1" ht="12.75">
      <c r="A26" s="68">
        <v>13</v>
      </c>
      <c r="B26" s="227" t="s">
        <v>257</v>
      </c>
      <c r="C26" s="228"/>
      <c r="D26" s="228"/>
      <c r="E26" s="228"/>
      <c r="F26" s="227">
        <v>2</v>
      </c>
      <c r="G26" s="227">
        <v>1</v>
      </c>
      <c r="H26" s="229">
        <v>10</v>
      </c>
      <c r="I26" s="230">
        <v>340.1</v>
      </c>
      <c r="J26" s="230">
        <v>377.8</v>
      </c>
      <c r="K26" s="230">
        <f t="shared" si="0"/>
        <v>37.69999999999999</v>
      </c>
      <c r="L26" s="32">
        <f>L46/I46*I26</f>
        <v>7447.813998964625</v>
      </c>
      <c r="M26" s="39">
        <f t="shared" si="3"/>
        <v>21.89889443976661</v>
      </c>
      <c r="N26" s="81">
        <f t="shared" si="4"/>
        <v>1.824907869980551</v>
      </c>
    </row>
    <row r="27" spans="1:14" s="73" customFormat="1" ht="12.75">
      <c r="A27" s="68">
        <v>14</v>
      </c>
      <c r="B27" s="227" t="s">
        <v>258</v>
      </c>
      <c r="C27" s="228"/>
      <c r="D27" s="228"/>
      <c r="E27" s="228"/>
      <c r="F27" s="227">
        <v>2</v>
      </c>
      <c r="G27" s="227"/>
      <c r="H27" s="229">
        <v>4</v>
      </c>
      <c r="I27" s="230">
        <v>270.5</v>
      </c>
      <c r="J27" s="230">
        <v>310.8</v>
      </c>
      <c r="K27" s="230">
        <f t="shared" si="0"/>
        <v>40.30000000000001</v>
      </c>
      <c r="L27" s="32">
        <f>L46/I46*I27</f>
        <v>5923.650945956868</v>
      </c>
      <c r="M27" s="39">
        <f t="shared" si="3"/>
        <v>21.89889443976661</v>
      </c>
      <c r="N27" s="81">
        <f t="shared" si="4"/>
        <v>1.824907869980551</v>
      </c>
    </row>
    <row r="28" spans="1:14" s="73" customFormat="1" ht="12.75">
      <c r="A28" s="68">
        <v>15</v>
      </c>
      <c r="B28" s="227" t="s">
        <v>259</v>
      </c>
      <c r="C28" s="228"/>
      <c r="D28" s="228"/>
      <c r="E28" s="228"/>
      <c r="F28" s="227">
        <v>2</v>
      </c>
      <c r="G28" s="227">
        <v>2</v>
      </c>
      <c r="H28" s="229">
        <v>8</v>
      </c>
      <c r="I28" s="230">
        <v>508.9</v>
      </c>
      <c r="J28" s="230">
        <v>610.1</v>
      </c>
      <c r="K28" s="230">
        <f t="shared" si="0"/>
        <v>101.20000000000005</v>
      </c>
      <c r="L28" s="32">
        <f>L46/I46*I28</f>
        <v>11144.347380397228</v>
      </c>
      <c r="M28" s="39">
        <f t="shared" si="3"/>
        <v>21.89889443976661</v>
      </c>
      <c r="N28" s="81">
        <f t="shared" si="4"/>
        <v>1.824907869980551</v>
      </c>
    </row>
    <row r="29" spans="1:14" s="73" customFormat="1" ht="12.75">
      <c r="A29" s="68">
        <v>16</v>
      </c>
      <c r="B29" s="227" t="s">
        <v>260</v>
      </c>
      <c r="C29" s="228"/>
      <c r="D29" s="228"/>
      <c r="E29" s="228"/>
      <c r="F29" s="227">
        <v>1</v>
      </c>
      <c r="G29" s="227">
        <v>1</v>
      </c>
      <c r="H29" s="229">
        <v>10</v>
      </c>
      <c r="I29" s="230">
        <v>668.9</v>
      </c>
      <c r="J29" s="230">
        <v>717.7</v>
      </c>
      <c r="K29" s="230">
        <f t="shared" si="0"/>
        <v>48.80000000000007</v>
      </c>
      <c r="L29" s="32">
        <f>L46/I46*I29</f>
        <v>14648.170490759885</v>
      </c>
      <c r="M29" s="39">
        <f t="shared" si="3"/>
        <v>21.89889443976661</v>
      </c>
      <c r="N29" s="81">
        <f t="shared" si="4"/>
        <v>1.824907869980551</v>
      </c>
    </row>
    <row r="30" spans="1:14" s="73" customFormat="1" ht="12.75">
      <c r="A30" s="68">
        <v>17</v>
      </c>
      <c r="B30" s="227" t="s">
        <v>261</v>
      </c>
      <c r="C30" s="228"/>
      <c r="D30" s="228"/>
      <c r="E30" s="228"/>
      <c r="F30" s="227">
        <v>2</v>
      </c>
      <c r="G30" s="227">
        <v>0</v>
      </c>
      <c r="H30" s="229">
        <v>6</v>
      </c>
      <c r="I30" s="230">
        <v>266.1</v>
      </c>
      <c r="J30" s="230">
        <v>326.6</v>
      </c>
      <c r="K30" s="230">
        <f t="shared" si="0"/>
        <v>60.5</v>
      </c>
      <c r="L30" s="32">
        <f>L46/I46*I30</f>
        <v>5827.295810421896</v>
      </c>
      <c r="M30" s="39">
        <f t="shared" si="3"/>
        <v>21.89889443976661</v>
      </c>
      <c r="N30" s="81">
        <f t="shared" si="4"/>
        <v>1.824907869980551</v>
      </c>
    </row>
    <row r="31" spans="1:14" s="73" customFormat="1" ht="12.75">
      <c r="A31" s="68">
        <v>18</v>
      </c>
      <c r="B31" s="188" t="s">
        <v>262</v>
      </c>
      <c r="C31" s="228"/>
      <c r="D31" s="228"/>
      <c r="E31" s="228"/>
      <c r="F31" s="227">
        <v>2</v>
      </c>
      <c r="G31" s="227">
        <v>1</v>
      </c>
      <c r="H31" s="229">
        <v>8</v>
      </c>
      <c r="I31" s="230">
        <v>331.1</v>
      </c>
      <c r="J31" s="230">
        <v>363.8</v>
      </c>
      <c r="K31" s="230">
        <f t="shared" si="0"/>
        <v>32.69999999999999</v>
      </c>
      <c r="L31" s="32">
        <f>L46/I46*I31</f>
        <v>7250.723949006725</v>
      </c>
      <c r="M31" s="39">
        <f t="shared" si="3"/>
        <v>21.89889443976661</v>
      </c>
      <c r="N31" s="81">
        <f t="shared" si="4"/>
        <v>1.824907869980551</v>
      </c>
    </row>
    <row r="32" spans="1:14" s="73" customFormat="1" ht="12.75">
      <c r="A32" s="68">
        <v>19</v>
      </c>
      <c r="B32" s="188" t="s">
        <v>263</v>
      </c>
      <c r="C32" s="228"/>
      <c r="D32" s="228"/>
      <c r="E32" s="228"/>
      <c r="F32" s="227">
        <v>2</v>
      </c>
      <c r="G32" s="227">
        <v>1</v>
      </c>
      <c r="H32" s="229">
        <v>8</v>
      </c>
      <c r="I32" s="230">
        <v>335.1</v>
      </c>
      <c r="J32" s="230">
        <v>361.4</v>
      </c>
      <c r="K32" s="230">
        <f t="shared" si="0"/>
        <v>26.299999999999955</v>
      </c>
      <c r="L32" s="32">
        <f>L46/I46*I32</f>
        <v>7338.319526765792</v>
      </c>
      <c r="M32" s="39">
        <f t="shared" si="3"/>
        <v>21.89889443976661</v>
      </c>
      <c r="N32" s="81">
        <f t="shared" si="4"/>
        <v>1.824907869980551</v>
      </c>
    </row>
    <row r="33" spans="1:14" s="73" customFormat="1" ht="12.75">
      <c r="A33" s="68">
        <v>20</v>
      </c>
      <c r="B33" s="227" t="s">
        <v>264</v>
      </c>
      <c r="C33" s="228"/>
      <c r="D33" s="228"/>
      <c r="E33" s="228"/>
      <c r="F33" s="227">
        <v>2</v>
      </c>
      <c r="G33" s="227">
        <v>1</v>
      </c>
      <c r="H33" s="229">
        <v>8</v>
      </c>
      <c r="I33" s="230">
        <v>336.9</v>
      </c>
      <c r="J33" s="230">
        <v>376.9</v>
      </c>
      <c r="K33" s="230">
        <f t="shared" si="0"/>
        <v>40</v>
      </c>
      <c r="L33" s="32">
        <f>L46/I46*I33</f>
        <v>7377.73753675737</v>
      </c>
      <c r="M33" s="39">
        <f t="shared" si="3"/>
        <v>21.89889443976661</v>
      </c>
      <c r="N33" s="81">
        <f t="shared" si="4"/>
        <v>1.824907869980551</v>
      </c>
    </row>
    <row r="34" spans="1:14" s="73" customFormat="1" ht="12.75">
      <c r="A34" s="68">
        <v>21</v>
      </c>
      <c r="B34" s="227" t="s">
        <v>265</v>
      </c>
      <c r="C34" s="228"/>
      <c r="D34" s="228"/>
      <c r="E34" s="228"/>
      <c r="F34" s="227">
        <v>2</v>
      </c>
      <c r="G34" s="227">
        <v>1</v>
      </c>
      <c r="H34" s="229">
        <v>10</v>
      </c>
      <c r="I34" s="230">
        <v>328.3</v>
      </c>
      <c r="J34" s="230">
        <v>370.5</v>
      </c>
      <c r="K34" s="230">
        <f t="shared" si="0"/>
        <v>42.19999999999999</v>
      </c>
      <c r="L34" s="32">
        <f>L46/I46*I34</f>
        <v>7189.407044575379</v>
      </c>
      <c r="M34" s="39">
        <f t="shared" si="3"/>
        <v>21.89889443976661</v>
      </c>
      <c r="N34" s="81">
        <f t="shared" si="4"/>
        <v>1.824907869980551</v>
      </c>
    </row>
    <row r="35" spans="1:14" s="73" customFormat="1" ht="12.75">
      <c r="A35" s="68">
        <v>22</v>
      </c>
      <c r="B35" s="227" t="s">
        <v>266</v>
      </c>
      <c r="C35" s="228"/>
      <c r="D35" s="228"/>
      <c r="E35" s="228"/>
      <c r="F35" s="227">
        <v>2</v>
      </c>
      <c r="G35" s="227">
        <v>1</v>
      </c>
      <c r="H35" s="229">
        <v>12</v>
      </c>
      <c r="I35" s="230">
        <v>328.6</v>
      </c>
      <c r="J35" s="230">
        <v>361.5</v>
      </c>
      <c r="K35" s="230">
        <f t="shared" si="0"/>
        <v>32.89999999999998</v>
      </c>
      <c r="L35" s="32">
        <f>L46/I46*I35</f>
        <v>7195.976712907309</v>
      </c>
      <c r="M35" s="39">
        <f t="shared" si="3"/>
        <v>21.89889443976661</v>
      </c>
      <c r="N35" s="81">
        <f t="shared" si="4"/>
        <v>1.824907869980551</v>
      </c>
    </row>
    <row r="36" spans="1:14" s="73" customFormat="1" ht="12.75">
      <c r="A36" s="68">
        <v>23</v>
      </c>
      <c r="B36" s="227" t="s">
        <v>267</v>
      </c>
      <c r="C36" s="228"/>
      <c r="D36" s="228"/>
      <c r="E36" s="228"/>
      <c r="F36" s="227">
        <v>2</v>
      </c>
      <c r="G36" s="227"/>
      <c r="H36" s="229">
        <v>6</v>
      </c>
      <c r="I36" s="230">
        <v>234.1</v>
      </c>
      <c r="J36" s="230">
        <v>257.5</v>
      </c>
      <c r="K36" s="230">
        <f t="shared" si="0"/>
        <v>23.400000000000006</v>
      </c>
      <c r="L36" s="32">
        <f>L46/I46*I36</f>
        <v>5126.531188349363</v>
      </c>
      <c r="M36" s="39">
        <f t="shared" si="3"/>
        <v>21.89889443976661</v>
      </c>
      <c r="N36" s="81">
        <f t="shared" si="4"/>
        <v>1.824907869980551</v>
      </c>
    </row>
    <row r="37" spans="1:14" s="73" customFormat="1" ht="12.75">
      <c r="A37" s="68">
        <v>24</v>
      </c>
      <c r="B37" s="34" t="s">
        <v>190</v>
      </c>
      <c r="C37" s="228"/>
      <c r="D37" s="228"/>
      <c r="E37" s="228"/>
      <c r="F37" s="227">
        <v>2</v>
      </c>
      <c r="G37" s="227">
        <v>1</v>
      </c>
      <c r="H37" s="229">
        <v>8</v>
      </c>
      <c r="I37" s="230">
        <v>329.1</v>
      </c>
      <c r="J37" s="230">
        <v>372.5</v>
      </c>
      <c r="K37" s="230">
        <f t="shared" si="0"/>
        <v>43.39999999999998</v>
      </c>
      <c r="L37" s="32">
        <f>L46/I46*I37</f>
        <v>7206.926160127192</v>
      </c>
      <c r="M37" s="39">
        <f t="shared" si="3"/>
        <v>21.89889443976661</v>
      </c>
      <c r="N37" s="81">
        <f t="shared" si="4"/>
        <v>1.824907869980551</v>
      </c>
    </row>
    <row r="38" spans="1:14" s="73" customFormat="1" ht="12.75">
      <c r="A38" s="68">
        <v>25</v>
      </c>
      <c r="B38" s="227" t="s">
        <v>268</v>
      </c>
      <c r="C38" s="228"/>
      <c r="D38" s="228"/>
      <c r="E38" s="228"/>
      <c r="F38" s="227">
        <v>2</v>
      </c>
      <c r="G38" s="227">
        <v>2</v>
      </c>
      <c r="H38" s="229">
        <v>12</v>
      </c>
      <c r="I38" s="230">
        <v>516.6</v>
      </c>
      <c r="J38" s="230">
        <v>578.8</v>
      </c>
      <c r="K38" s="230">
        <f t="shared" si="0"/>
        <v>62.19999999999993</v>
      </c>
      <c r="L38" s="32">
        <f>L46/I46*I38</f>
        <v>11312.968867583431</v>
      </c>
      <c r="M38" s="39">
        <f t="shared" si="3"/>
        <v>21.89889443976661</v>
      </c>
      <c r="N38" s="81">
        <f t="shared" si="4"/>
        <v>1.824907869980551</v>
      </c>
    </row>
    <row r="39" spans="1:14" s="73" customFormat="1" ht="12.75">
      <c r="A39" s="68">
        <v>26</v>
      </c>
      <c r="B39" s="227" t="s">
        <v>269</v>
      </c>
      <c r="C39" s="228"/>
      <c r="D39" s="228"/>
      <c r="E39" s="228"/>
      <c r="F39" s="227">
        <v>2</v>
      </c>
      <c r="G39" s="227">
        <v>2</v>
      </c>
      <c r="H39" s="229">
        <v>12</v>
      </c>
      <c r="I39" s="230">
        <v>498</v>
      </c>
      <c r="J39" s="230">
        <v>540.4</v>
      </c>
      <c r="K39" s="230">
        <f t="shared" si="0"/>
        <v>42.39999999999998</v>
      </c>
      <c r="L39" s="32">
        <f>L46/I46*I39</f>
        <v>10905.649431003772</v>
      </c>
      <c r="M39" s="39">
        <f t="shared" si="3"/>
        <v>21.89889443976661</v>
      </c>
      <c r="N39" s="81">
        <f t="shared" si="4"/>
        <v>1.824907869980551</v>
      </c>
    </row>
    <row r="40" spans="1:14" s="73" customFormat="1" ht="12.75">
      <c r="A40" s="68">
        <v>27</v>
      </c>
      <c r="B40" s="227" t="s">
        <v>193</v>
      </c>
      <c r="C40" s="228"/>
      <c r="D40" s="228"/>
      <c r="E40" s="228"/>
      <c r="F40" s="227">
        <v>2</v>
      </c>
      <c r="G40" s="227">
        <v>2</v>
      </c>
      <c r="H40" s="229">
        <v>12</v>
      </c>
      <c r="I40" s="230">
        <v>513.4</v>
      </c>
      <c r="J40" s="230">
        <v>584.1</v>
      </c>
      <c r="K40" s="230">
        <f t="shared" si="0"/>
        <v>70.70000000000005</v>
      </c>
      <c r="L40" s="32">
        <f>L46/I46*I40</f>
        <v>11242.892405376178</v>
      </c>
      <c r="M40" s="39">
        <f t="shared" si="3"/>
        <v>21.89889443976661</v>
      </c>
      <c r="N40" s="81">
        <f t="shared" si="4"/>
        <v>1.824907869980551</v>
      </c>
    </row>
    <row r="41" spans="1:14" s="73" customFormat="1" ht="12.75">
      <c r="A41" s="68">
        <v>28</v>
      </c>
      <c r="B41" s="227" t="s">
        <v>270</v>
      </c>
      <c r="C41" s="228"/>
      <c r="D41" s="228"/>
      <c r="E41" s="228"/>
      <c r="F41" s="227">
        <v>2</v>
      </c>
      <c r="G41" s="227">
        <v>3</v>
      </c>
      <c r="H41" s="229">
        <v>12</v>
      </c>
      <c r="I41" s="230">
        <v>522.8</v>
      </c>
      <c r="J41" s="230">
        <v>578.8</v>
      </c>
      <c r="K41" s="230">
        <f t="shared" si="0"/>
        <v>56</v>
      </c>
      <c r="L41" s="32">
        <f>L46/I46*I41</f>
        <v>11448.742013109983</v>
      </c>
      <c r="M41" s="39">
        <f t="shared" si="3"/>
        <v>21.89889443976661</v>
      </c>
      <c r="N41" s="81">
        <f t="shared" si="4"/>
        <v>1.824907869980551</v>
      </c>
    </row>
    <row r="42" spans="1:14" s="73" customFormat="1" ht="12.75">
      <c r="A42" s="68">
        <v>29</v>
      </c>
      <c r="B42" s="227" t="s">
        <v>271</v>
      </c>
      <c r="C42" s="228"/>
      <c r="D42" s="228"/>
      <c r="E42" s="228"/>
      <c r="F42" s="227">
        <v>2</v>
      </c>
      <c r="G42" s="227">
        <v>1</v>
      </c>
      <c r="H42" s="229">
        <v>10</v>
      </c>
      <c r="I42" s="230">
        <v>329.9</v>
      </c>
      <c r="J42" s="230">
        <v>363.6</v>
      </c>
      <c r="K42" s="230">
        <f t="shared" si="0"/>
        <v>33.700000000000045</v>
      </c>
      <c r="L42" s="32">
        <f>L46/I46*I42</f>
        <v>7224.445275679004</v>
      </c>
      <c r="M42" s="39">
        <f t="shared" si="3"/>
        <v>21.89889443976661</v>
      </c>
      <c r="N42" s="81">
        <f t="shared" si="4"/>
        <v>1.824907869980551</v>
      </c>
    </row>
    <row r="43" spans="1:14" s="73" customFormat="1" ht="12.75">
      <c r="A43" s="68">
        <v>30</v>
      </c>
      <c r="B43" s="227" t="s">
        <v>272</v>
      </c>
      <c r="C43" s="228"/>
      <c r="D43" s="228"/>
      <c r="E43" s="228"/>
      <c r="F43" s="227">
        <v>2</v>
      </c>
      <c r="G43" s="227">
        <v>1</v>
      </c>
      <c r="H43" s="229">
        <v>10</v>
      </c>
      <c r="I43" s="230">
        <v>330.4</v>
      </c>
      <c r="J43" s="230">
        <v>370.1</v>
      </c>
      <c r="K43" s="230">
        <f t="shared" si="0"/>
        <v>39.700000000000045</v>
      </c>
      <c r="L43" s="32">
        <f>L46/I46*I43</f>
        <v>7235.394722898888</v>
      </c>
      <c r="M43" s="39">
        <f t="shared" si="3"/>
        <v>21.89889443976661</v>
      </c>
      <c r="N43" s="81">
        <f t="shared" si="4"/>
        <v>1.824907869980551</v>
      </c>
    </row>
    <row r="44" spans="1:14" s="73" customFormat="1" ht="12.75">
      <c r="A44" s="68">
        <v>31</v>
      </c>
      <c r="B44" s="227" t="s">
        <v>273</v>
      </c>
      <c r="C44" s="228"/>
      <c r="D44" s="228"/>
      <c r="E44" s="228"/>
      <c r="F44" s="227">
        <v>2</v>
      </c>
      <c r="G44" s="227">
        <v>2</v>
      </c>
      <c r="H44" s="229">
        <v>12</v>
      </c>
      <c r="I44" s="230">
        <v>601</v>
      </c>
      <c r="J44" s="230">
        <v>661.1</v>
      </c>
      <c r="K44" s="230">
        <f t="shared" si="0"/>
        <v>60.10000000000002</v>
      </c>
      <c r="L44" s="32">
        <f>L46/I46*I44</f>
        <v>13161.235558299733</v>
      </c>
      <c r="M44" s="39">
        <f t="shared" si="3"/>
        <v>21.89889443976661</v>
      </c>
      <c r="N44" s="81">
        <f t="shared" si="4"/>
        <v>1.824907869980551</v>
      </c>
    </row>
    <row r="45" spans="1:14" s="73" customFormat="1" ht="13.5" thickBot="1">
      <c r="A45" s="68">
        <v>32</v>
      </c>
      <c r="B45" s="227" t="s">
        <v>274</v>
      </c>
      <c r="C45" s="228"/>
      <c r="D45" s="228"/>
      <c r="E45" s="228"/>
      <c r="F45" s="227">
        <v>2</v>
      </c>
      <c r="G45" s="227">
        <v>2</v>
      </c>
      <c r="H45" s="229">
        <v>12</v>
      </c>
      <c r="I45" s="230">
        <v>491.1</v>
      </c>
      <c r="J45" s="230">
        <v>535.1</v>
      </c>
      <c r="K45" s="230">
        <f t="shared" si="0"/>
        <v>44</v>
      </c>
      <c r="L45" s="32">
        <f>L46/I46*I45</f>
        <v>10754.547059369383</v>
      </c>
      <c r="M45" s="39">
        <f t="shared" si="3"/>
        <v>21.89889443976661</v>
      </c>
      <c r="N45" s="81">
        <f t="shared" si="4"/>
        <v>1.824907869980551</v>
      </c>
    </row>
    <row r="46" spans="1:14" s="38" customFormat="1" ht="12.75">
      <c r="A46" s="35">
        <v>13</v>
      </c>
      <c r="B46" s="36" t="s">
        <v>123</v>
      </c>
      <c r="C46" s="36"/>
      <c r="D46" s="36"/>
      <c r="E46" s="36"/>
      <c r="F46" s="36"/>
      <c r="G46" s="36">
        <f>SUM(G14:G45)</f>
        <v>40</v>
      </c>
      <c r="H46" s="36">
        <f>SUM(H14:H45)</f>
        <v>298</v>
      </c>
      <c r="I46" s="36">
        <f>SUM(I14:I45)</f>
        <v>12408.4</v>
      </c>
      <c r="J46" s="36">
        <f>SUM(J14:J45)</f>
        <v>13939.1</v>
      </c>
      <c r="K46" s="36">
        <f>SUM(K14:K45)</f>
        <v>1530.7000000000003</v>
      </c>
      <c r="L46" s="72">
        <f>I4</f>
        <v>271730.2417664</v>
      </c>
      <c r="M46" s="72"/>
      <c r="N46" s="83"/>
    </row>
    <row r="47" spans="1:11" ht="15.75">
      <c r="A47" s="31"/>
      <c r="B47" s="40"/>
      <c r="C47" s="31"/>
      <c r="D47" s="31"/>
      <c r="E47" s="31"/>
      <c r="F47" s="31"/>
      <c r="G47" s="41"/>
      <c r="H47" s="41"/>
      <c r="I47" s="41"/>
      <c r="J47" s="41"/>
      <c r="K47" s="41"/>
    </row>
    <row r="48" spans="2:6" ht="12.75">
      <c r="B48" s="43"/>
      <c r="F48" s="43"/>
    </row>
    <row r="51" ht="12.75">
      <c r="E51" s="42" t="e">
        <f>#REF!+#REF!</f>
        <v>#REF!</v>
      </c>
    </row>
  </sheetData>
  <sheetProtection password="81F5" sheet="1" formatCells="0" formatColumns="0" formatRows="0" insertColumns="0" insertRows="0" insertHyperlinks="0" deleteColumns="0" deleteRows="0" sort="0" autoFilter="0" pivotTables="0"/>
  <mergeCells count="7">
    <mergeCell ref="A1:N1"/>
    <mergeCell ref="L9:L12"/>
    <mergeCell ref="M9:M12"/>
    <mergeCell ref="N9:N12"/>
    <mergeCell ref="E9:E12"/>
    <mergeCell ref="J9:J12"/>
    <mergeCell ref="K9:K12"/>
  </mergeCells>
  <printOptions/>
  <pageMargins left="0.7874015748031497" right="0.1968503937007874" top="0.7874015748031497" bottom="0.1968503937007874" header="0.5118110236220472" footer="0.5118110236220472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view="pageBreakPreview" zoomScaleSheetLayoutView="100" zoomScalePageLayoutView="0" workbookViewId="0" topLeftCell="A1">
      <pane xSplit="2" ySplit="12" topLeftCell="F30" activePane="bottomRight" state="frozen"/>
      <selection pane="topLeft" activeCell="F37" sqref="F37"/>
      <selection pane="topRight" activeCell="F37" sqref="F37"/>
      <selection pane="bottomLeft" activeCell="F37" sqref="F37"/>
      <selection pane="bottomRight" activeCell="F34" sqref="F34:G34"/>
    </sheetView>
  </sheetViews>
  <sheetFormatPr defaultColWidth="9.00390625" defaultRowHeight="12.75"/>
  <cols>
    <col min="1" max="1" width="5.375" style="42" customWidth="1"/>
    <col min="2" max="2" width="29.25390625" style="42" customWidth="1"/>
    <col min="3" max="3" width="9.125" style="42" hidden="1" customWidth="1"/>
    <col min="4" max="4" width="13.00390625" style="42" hidden="1" customWidth="1"/>
    <col min="5" max="5" width="6.125" style="42" hidden="1" customWidth="1"/>
    <col min="6" max="6" width="6.625" style="42" customWidth="1"/>
    <col min="7" max="7" width="7.00390625" style="42" customWidth="1"/>
    <col min="8" max="8" width="8.00390625" style="42" customWidth="1"/>
    <col min="9" max="12" width="8.625" style="42" customWidth="1"/>
    <col min="13" max="13" width="13.75390625" style="44" customWidth="1"/>
    <col min="14" max="14" width="10.25390625" style="44" customWidth="1"/>
    <col min="15" max="15" width="10.875" style="44" customWidth="1"/>
    <col min="16" max="16384" width="9.125" style="44" customWidth="1"/>
  </cols>
  <sheetData>
    <row r="1" spans="1:15" s="28" customFormat="1" ht="48.75" customHeight="1">
      <c r="A1" s="285" t="s">
        <v>159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</row>
    <row r="2" spans="1:15" s="28" customFormat="1" ht="11.25" customHeight="1">
      <c r="A2" s="181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</row>
    <row r="3" spans="1:12" s="28" customFormat="1" ht="15">
      <c r="A3" s="26"/>
      <c r="B3" s="175" t="s">
        <v>182</v>
      </c>
      <c r="C3" s="175"/>
      <c r="D3" s="175"/>
      <c r="E3" s="175"/>
      <c r="F3" s="175"/>
      <c r="G3" s="175"/>
      <c r="H3" s="175"/>
      <c r="I3" s="27"/>
      <c r="J3" s="27"/>
      <c r="K3" s="27"/>
      <c r="L3" s="27"/>
    </row>
    <row r="4" spans="1:12" s="28" customFormat="1" ht="15">
      <c r="A4" s="26"/>
      <c r="B4" s="175" t="s">
        <v>153</v>
      </c>
      <c r="C4" s="175"/>
      <c r="D4" s="175"/>
      <c r="E4" s="175"/>
      <c r="F4" s="175"/>
      <c r="G4" s="175"/>
      <c r="I4" s="180">
        <f>I5+I6+I7</f>
        <v>242930.2417664</v>
      </c>
      <c r="J4" s="27"/>
      <c r="K4" s="27"/>
      <c r="L4" s="27"/>
    </row>
    <row r="5" spans="1:12" s="28" customFormat="1" ht="15">
      <c r="A5" s="26"/>
      <c r="B5" s="175" t="s">
        <v>154</v>
      </c>
      <c r="C5" s="175"/>
      <c r="D5" s="175"/>
      <c r="E5" s="175"/>
      <c r="F5" s="175">
        <v>0.5</v>
      </c>
      <c r="G5" s="175" t="s">
        <v>155</v>
      </c>
      <c r="I5" s="180">
        <f>штат!L30</f>
        <v>177709.5936</v>
      </c>
      <c r="J5" s="27"/>
      <c r="K5" s="27"/>
      <c r="L5" s="27"/>
    </row>
    <row r="6" spans="1:12" s="28" customFormat="1" ht="13.5">
      <c r="A6" s="27"/>
      <c r="B6" s="175" t="s">
        <v>127</v>
      </c>
      <c r="C6" s="175"/>
      <c r="D6" s="175"/>
      <c r="E6" s="175"/>
      <c r="F6" s="175"/>
      <c r="G6" s="175"/>
      <c r="I6" s="175">
        <f>I5*0.349</f>
        <v>62020.648166399995</v>
      </c>
      <c r="J6" s="27"/>
      <c r="K6" s="27"/>
      <c r="L6" s="27"/>
    </row>
    <row r="7" spans="1:12" s="28" customFormat="1" ht="13.5">
      <c r="A7" s="27"/>
      <c r="B7" s="175" t="s">
        <v>134</v>
      </c>
      <c r="C7" s="175"/>
      <c r="D7" s="175"/>
      <c r="E7" s="175"/>
      <c r="F7" s="175"/>
      <c r="G7" s="175"/>
      <c r="I7" s="175">
        <f>32*100</f>
        <v>3200</v>
      </c>
      <c r="J7" s="27"/>
      <c r="K7" s="27"/>
      <c r="L7" s="27"/>
    </row>
    <row r="8" spans="1:12" s="28" customFormat="1" ht="13.5" thickBo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5" s="28" customFormat="1" ht="29.25" customHeight="1">
      <c r="A9" s="74" t="s">
        <v>102</v>
      </c>
      <c r="B9" s="75" t="s">
        <v>103</v>
      </c>
      <c r="C9" s="76" t="s">
        <v>104</v>
      </c>
      <c r="D9" s="75" t="s">
        <v>105</v>
      </c>
      <c r="E9" s="299" t="s">
        <v>106</v>
      </c>
      <c r="F9" s="75" t="s">
        <v>107</v>
      </c>
      <c r="G9" s="76" t="s">
        <v>107</v>
      </c>
      <c r="H9" s="75" t="s">
        <v>107</v>
      </c>
      <c r="I9" s="77" t="s">
        <v>108</v>
      </c>
      <c r="J9" s="299" t="s">
        <v>156</v>
      </c>
      <c r="K9" s="299" t="s">
        <v>157</v>
      </c>
      <c r="L9" s="311" t="s">
        <v>152</v>
      </c>
      <c r="M9" s="314" t="s">
        <v>300</v>
      </c>
      <c r="N9" s="314" t="s">
        <v>301</v>
      </c>
      <c r="O9" s="317" t="s">
        <v>302</v>
      </c>
    </row>
    <row r="10" spans="1:15" s="28" customFormat="1" ht="12.75" customHeight="1">
      <c r="A10" s="70"/>
      <c r="B10" s="30" t="s">
        <v>109</v>
      </c>
      <c r="C10" s="31" t="s">
        <v>110</v>
      </c>
      <c r="D10" s="30" t="s">
        <v>111</v>
      </c>
      <c r="E10" s="300"/>
      <c r="F10" s="30" t="s">
        <v>112</v>
      </c>
      <c r="G10" s="31" t="s">
        <v>113</v>
      </c>
      <c r="H10" s="30" t="s">
        <v>114</v>
      </c>
      <c r="I10" s="29" t="s">
        <v>115</v>
      </c>
      <c r="J10" s="300"/>
      <c r="K10" s="300"/>
      <c r="L10" s="312"/>
      <c r="M10" s="315"/>
      <c r="N10" s="315"/>
      <c r="O10" s="318"/>
    </row>
    <row r="11" spans="1:15" s="28" customFormat="1" ht="12.75">
      <c r="A11" s="70"/>
      <c r="B11" s="30"/>
      <c r="C11" s="31"/>
      <c r="D11" s="30" t="s">
        <v>116</v>
      </c>
      <c r="E11" s="300"/>
      <c r="F11" s="30"/>
      <c r="G11" s="31" t="s">
        <v>117</v>
      </c>
      <c r="H11" s="30"/>
      <c r="I11" s="29" t="s">
        <v>118</v>
      </c>
      <c r="J11" s="300"/>
      <c r="K11" s="300"/>
      <c r="L11" s="312"/>
      <c r="M11" s="315"/>
      <c r="N11" s="315"/>
      <c r="O11" s="318"/>
    </row>
    <row r="12" spans="1:15" s="28" customFormat="1" ht="21.75" customHeight="1" thickBot="1">
      <c r="A12" s="78"/>
      <c r="B12" s="69"/>
      <c r="C12" s="79"/>
      <c r="D12" s="69"/>
      <c r="E12" s="301"/>
      <c r="F12" s="69"/>
      <c r="G12" s="79"/>
      <c r="H12" s="69"/>
      <c r="I12" s="80" t="s">
        <v>119</v>
      </c>
      <c r="J12" s="301"/>
      <c r="K12" s="301"/>
      <c r="L12" s="313"/>
      <c r="M12" s="316"/>
      <c r="N12" s="316"/>
      <c r="O12" s="319"/>
    </row>
    <row r="13" spans="1:15" s="33" customFormat="1" ht="12.75">
      <c r="A13" s="84">
        <v>1</v>
      </c>
      <c r="B13" s="85">
        <v>2</v>
      </c>
      <c r="C13" s="84">
        <v>3</v>
      </c>
      <c r="D13" s="85">
        <v>4</v>
      </c>
      <c r="E13" s="84">
        <v>5</v>
      </c>
      <c r="F13" s="85">
        <v>6</v>
      </c>
      <c r="G13" s="84">
        <v>7</v>
      </c>
      <c r="H13" s="85">
        <v>8</v>
      </c>
      <c r="I13" s="84">
        <v>9</v>
      </c>
      <c r="J13" s="85">
        <v>10</v>
      </c>
      <c r="K13" s="84">
        <v>11</v>
      </c>
      <c r="L13" s="85">
        <v>12</v>
      </c>
      <c r="M13" s="84">
        <v>13</v>
      </c>
      <c r="N13" s="85">
        <v>14</v>
      </c>
      <c r="O13" s="84">
        <v>15</v>
      </c>
    </row>
    <row r="14" spans="1:15" s="33" customFormat="1" ht="12.75">
      <c r="A14" s="68">
        <v>1</v>
      </c>
      <c r="B14" s="188" t="s">
        <v>188</v>
      </c>
      <c r="C14" s="34">
        <v>1982</v>
      </c>
      <c r="D14" s="34" t="s">
        <v>121</v>
      </c>
      <c r="E14" s="34">
        <v>21.2</v>
      </c>
      <c r="F14" s="188">
        <v>2</v>
      </c>
      <c r="G14" s="188">
        <v>1</v>
      </c>
      <c r="H14" s="188">
        <v>10</v>
      </c>
      <c r="I14" s="188">
        <v>336.2</v>
      </c>
      <c r="J14" s="190">
        <v>382.8</v>
      </c>
      <c r="K14" s="34">
        <f aca="true" t="shared" si="0" ref="K14:K45">J14-I14</f>
        <v>46.60000000000002</v>
      </c>
      <c r="L14" s="71">
        <v>3</v>
      </c>
      <c r="M14" s="32">
        <f>I4/K46*K14</f>
        <v>7395.668169016949</v>
      </c>
      <c r="N14" s="39">
        <f>M14/I14</f>
        <v>21.997823227296102</v>
      </c>
      <c r="O14" s="81">
        <f>N14/12</f>
        <v>1.8331519356080086</v>
      </c>
    </row>
    <row r="15" spans="1:15" s="38" customFormat="1" ht="12.75">
      <c r="A15" s="68">
        <v>2</v>
      </c>
      <c r="B15" s="188" t="s">
        <v>189</v>
      </c>
      <c r="C15" s="34">
        <v>1982</v>
      </c>
      <c r="D15" s="34" t="s">
        <v>120</v>
      </c>
      <c r="E15" s="34">
        <v>44</v>
      </c>
      <c r="F15" s="188">
        <v>2</v>
      </c>
      <c r="G15" s="188">
        <v>1</v>
      </c>
      <c r="H15" s="188">
        <v>9</v>
      </c>
      <c r="I15" s="188">
        <v>334</v>
      </c>
      <c r="J15" s="190">
        <v>380.8</v>
      </c>
      <c r="K15" s="34">
        <f t="shared" si="0"/>
        <v>46.80000000000001</v>
      </c>
      <c r="L15" s="71">
        <v>3</v>
      </c>
      <c r="M15" s="32">
        <f>I4/K46*K15</f>
        <v>7427.409234120024</v>
      </c>
      <c r="N15" s="39">
        <f aca="true" t="shared" si="1" ref="N15:N24">M15/I15</f>
        <v>22.237752197964145</v>
      </c>
      <c r="O15" s="81">
        <f aca="true" t="shared" si="2" ref="O15:O24">N15/12</f>
        <v>1.8531460164970122</v>
      </c>
    </row>
    <row r="16" spans="1:15" s="38" customFormat="1" ht="12.75">
      <c r="A16" s="68">
        <v>3</v>
      </c>
      <c r="B16" s="188" t="s">
        <v>196</v>
      </c>
      <c r="C16" s="37">
        <v>1980</v>
      </c>
      <c r="D16" s="37" t="s">
        <v>122</v>
      </c>
      <c r="E16" s="37">
        <f>19.2+0.8</f>
        <v>20</v>
      </c>
      <c r="F16" s="37">
        <v>2</v>
      </c>
      <c r="G16" s="37">
        <v>1</v>
      </c>
      <c r="H16" s="37">
        <v>4</v>
      </c>
      <c r="I16" s="37">
        <v>240.4</v>
      </c>
      <c r="J16" s="34">
        <v>274</v>
      </c>
      <c r="K16" s="34">
        <f t="shared" si="0"/>
        <v>33.599999999999994</v>
      </c>
      <c r="L16" s="71">
        <v>3</v>
      </c>
      <c r="M16" s="32">
        <f>I4/K46*K16</f>
        <v>5332.498937316938</v>
      </c>
      <c r="N16" s="39">
        <f t="shared" si="1"/>
        <v>22.181775945577947</v>
      </c>
      <c r="O16" s="81">
        <f t="shared" si="2"/>
        <v>1.8484813287981623</v>
      </c>
    </row>
    <row r="17" spans="1:17" s="38" customFormat="1" ht="12.75">
      <c r="A17" s="68">
        <v>4</v>
      </c>
      <c r="B17" s="189" t="s">
        <v>194</v>
      </c>
      <c r="C17" s="34">
        <v>1999</v>
      </c>
      <c r="D17" s="34" t="s">
        <v>120</v>
      </c>
      <c r="E17" s="34">
        <v>10</v>
      </c>
      <c r="F17" s="189">
        <v>2</v>
      </c>
      <c r="G17" s="189">
        <v>1</v>
      </c>
      <c r="H17" s="189">
        <v>10</v>
      </c>
      <c r="I17" s="189">
        <v>334.6</v>
      </c>
      <c r="J17" s="188">
        <v>381.4</v>
      </c>
      <c r="K17" s="34">
        <f t="shared" si="0"/>
        <v>46.799999999999955</v>
      </c>
      <c r="L17" s="71">
        <v>3</v>
      </c>
      <c r="M17" s="32">
        <f>I4/K46*K17</f>
        <v>7427.409234120015</v>
      </c>
      <c r="N17" s="39">
        <f t="shared" si="1"/>
        <v>22.19787577441726</v>
      </c>
      <c r="O17" s="81">
        <f t="shared" si="2"/>
        <v>1.8498229812014382</v>
      </c>
      <c r="Q17" s="38">
        <f>91.35+227.98+375.36+207.55+325.68+309.67+278.76+186.58+364.32+436.08+295.87+378.67</f>
        <v>3477.87</v>
      </c>
    </row>
    <row r="18" spans="1:18" s="38" customFormat="1" ht="12.75">
      <c r="A18" s="68">
        <v>5</v>
      </c>
      <c r="B18" s="188" t="s">
        <v>195</v>
      </c>
      <c r="C18" s="173"/>
      <c r="D18" s="173"/>
      <c r="E18" s="173"/>
      <c r="F18" s="188">
        <v>2</v>
      </c>
      <c r="G18" s="188">
        <v>1</v>
      </c>
      <c r="H18" s="188">
        <v>10</v>
      </c>
      <c r="I18" s="188">
        <v>340.4</v>
      </c>
      <c r="J18" s="188">
        <v>388.1</v>
      </c>
      <c r="K18" s="34">
        <f t="shared" si="0"/>
        <v>47.700000000000045</v>
      </c>
      <c r="L18" s="71">
        <v>3</v>
      </c>
      <c r="M18" s="32">
        <f>I4/K46*K18</f>
        <v>7570.244027083876</v>
      </c>
      <c r="N18" s="39">
        <f t="shared" si="1"/>
        <v>22.23925977404194</v>
      </c>
      <c r="O18" s="81">
        <f t="shared" si="2"/>
        <v>1.8532716478368283</v>
      </c>
      <c r="Q18" s="38">
        <f>3650.57-172.7</f>
        <v>3477.8700000000003</v>
      </c>
      <c r="R18" s="38">
        <f>Q18/5.52</f>
        <v>630.0489130434784</v>
      </c>
    </row>
    <row r="19" spans="1:17" s="38" customFormat="1" ht="12.75">
      <c r="A19" s="68">
        <v>6</v>
      </c>
      <c r="B19" s="188" t="s">
        <v>191</v>
      </c>
      <c r="C19" s="173">
        <v>1985</v>
      </c>
      <c r="D19" s="173" t="s">
        <v>120</v>
      </c>
      <c r="E19" s="173"/>
      <c r="F19" s="188">
        <v>2</v>
      </c>
      <c r="G19" s="188">
        <v>1</v>
      </c>
      <c r="H19" s="188">
        <v>8</v>
      </c>
      <c r="I19" s="188">
        <v>321.9</v>
      </c>
      <c r="J19" s="188">
        <v>367</v>
      </c>
      <c r="K19" s="173">
        <f t="shared" si="0"/>
        <v>45.10000000000002</v>
      </c>
      <c r="L19" s="71">
        <v>4</v>
      </c>
      <c r="M19" s="32">
        <f>I4/K46*K19</f>
        <v>7157.610180743871</v>
      </c>
      <c r="N19" s="39">
        <f>M19/I19</f>
        <v>22.235508483205564</v>
      </c>
      <c r="O19" s="81">
        <f>N19/12</f>
        <v>1.8529590402671303</v>
      </c>
      <c r="Q19" s="38">
        <f>172.7/3.21</f>
        <v>53.8006230529595</v>
      </c>
    </row>
    <row r="20" spans="1:19" s="67" customFormat="1" ht="12.75">
      <c r="A20" s="68">
        <v>7</v>
      </c>
      <c r="B20" s="188" t="s">
        <v>192</v>
      </c>
      <c r="C20" s="34">
        <v>1983</v>
      </c>
      <c r="D20" s="34" t="s">
        <v>120</v>
      </c>
      <c r="E20" s="34">
        <v>42</v>
      </c>
      <c r="F20" s="188">
        <v>2</v>
      </c>
      <c r="G20" s="188">
        <v>1</v>
      </c>
      <c r="H20" s="188">
        <v>9</v>
      </c>
      <c r="I20" s="188">
        <v>326.6</v>
      </c>
      <c r="J20" s="188">
        <v>371.9</v>
      </c>
      <c r="K20" s="34">
        <f t="shared" si="0"/>
        <v>45.299999999999955</v>
      </c>
      <c r="L20" s="71">
        <v>4</v>
      </c>
      <c r="M20" s="32">
        <f>I4/K46*K20</f>
        <v>7189.351245846937</v>
      </c>
      <c r="N20" s="39">
        <f t="shared" si="1"/>
        <v>22.01271048942724</v>
      </c>
      <c r="O20" s="81">
        <f t="shared" si="2"/>
        <v>1.8343925407856032</v>
      </c>
      <c r="S20" s="67">
        <f>767.6-630.5</f>
        <v>137.10000000000002</v>
      </c>
    </row>
    <row r="21" spans="1:15" s="67" customFormat="1" ht="12.75">
      <c r="A21" s="68">
        <v>8</v>
      </c>
      <c r="B21" s="188" t="s">
        <v>186</v>
      </c>
      <c r="C21" s="34">
        <v>1981</v>
      </c>
      <c r="D21" s="34" t="s">
        <v>120</v>
      </c>
      <c r="E21" s="34">
        <v>46</v>
      </c>
      <c r="F21" s="188">
        <v>2</v>
      </c>
      <c r="G21" s="188">
        <v>2</v>
      </c>
      <c r="H21" s="188">
        <v>12</v>
      </c>
      <c r="I21" s="34">
        <v>489.7</v>
      </c>
      <c r="J21" s="190">
        <v>558.3</v>
      </c>
      <c r="K21" s="34">
        <f t="shared" si="0"/>
        <v>68.59999999999997</v>
      </c>
      <c r="L21" s="71">
        <v>6</v>
      </c>
      <c r="M21" s="32">
        <f>I4/K46*K21</f>
        <v>10887.18533035541</v>
      </c>
      <c r="N21" s="39">
        <f t="shared" si="1"/>
        <v>22.2323572194311</v>
      </c>
      <c r="O21" s="81">
        <f t="shared" si="2"/>
        <v>1.8526964349525918</v>
      </c>
    </row>
    <row r="22" spans="1:17" s="67" customFormat="1" ht="12.75">
      <c r="A22" s="68">
        <v>9</v>
      </c>
      <c r="B22" s="188" t="s">
        <v>187</v>
      </c>
      <c r="C22" s="34">
        <v>1981</v>
      </c>
      <c r="D22" s="34" t="s">
        <v>120</v>
      </c>
      <c r="E22" s="34">
        <v>46</v>
      </c>
      <c r="F22" s="188">
        <v>1</v>
      </c>
      <c r="G22" s="188">
        <v>1</v>
      </c>
      <c r="H22" s="188">
        <v>8</v>
      </c>
      <c r="I22" s="34">
        <v>389.2</v>
      </c>
      <c r="J22" s="190">
        <v>443.7</v>
      </c>
      <c r="K22" s="34">
        <f t="shared" si="0"/>
        <v>54.5</v>
      </c>
      <c r="L22" s="71">
        <v>6</v>
      </c>
      <c r="M22" s="32">
        <f>I4/K46*K22</f>
        <v>8649.440240588487</v>
      </c>
      <c r="N22" s="39">
        <f t="shared" si="1"/>
        <v>22.223638850432906</v>
      </c>
      <c r="O22" s="81">
        <f t="shared" si="2"/>
        <v>1.8519699042027422</v>
      </c>
      <c r="P22" s="67">
        <f>767.7+208.3+246.7</f>
        <v>1222.7</v>
      </c>
      <c r="Q22" s="67">
        <v>246.7</v>
      </c>
    </row>
    <row r="23" spans="1:18" s="67" customFormat="1" ht="12.75">
      <c r="A23" s="68">
        <v>10</v>
      </c>
      <c r="B23" s="34" t="s">
        <v>190</v>
      </c>
      <c r="C23" s="34">
        <v>1984</v>
      </c>
      <c r="D23" s="34" t="s">
        <v>120</v>
      </c>
      <c r="E23" s="34">
        <v>40</v>
      </c>
      <c r="F23" s="188">
        <v>2</v>
      </c>
      <c r="G23" s="188">
        <v>1</v>
      </c>
      <c r="H23" s="188">
        <v>8</v>
      </c>
      <c r="I23" s="188">
        <v>329.7</v>
      </c>
      <c r="J23" s="34">
        <v>375.9</v>
      </c>
      <c r="K23" s="34">
        <f t="shared" si="0"/>
        <v>46.19999999999999</v>
      </c>
      <c r="L23" s="71">
        <v>3</v>
      </c>
      <c r="M23" s="32">
        <f>I4/K46*K23</f>
        <v>7332.186038810789</v>
      </c>
      <c r="N23" s="39">
        <f>M23/I23</f>
        <v>22.238962811073065</v>
      </c>
      <c r="O23" s="81">
        <f>N23/12</f>
        <v>1.8532469009227555</v>
      </c>
      <c r="P23" s="67">
        <v>208.3</v>
      </c>
      <c r="Q23" s="67">
        <f>P23*Q22/P22</f>
        <v>42.027979062730026</v>
      </c>
      <c r="R23" s="67">
        <f>Q22-Q23</f>
        <v>204.67202093726996</v>
      </c>
    </row>
    <row r="24" spans="1:17" s="73" customFormat="1" ht="18" customHeight="1" thickBot="1">
      <c r="A24" s="68">
        <v>11</v>
      </c>
      <c r="B24" s="188" t="s">
        <v>193</v>
      </c>
      <c r="C24" s="34">
        <v>1986</v>
      </c>
      <c r="D24" s="34" t="s">
        <v>120</v>
      </c>
      <c r="E24" s="34">
        <v>36</v>
      </c>
      <c r="F24" s="188">
        <v>2</v>
      </c>
      <c r="G24" s="188">
        <v>2</v>
      </c>
      <c r="H24" s="188">
        <v>12</v>
      </c>
      <c r="I24" s="34">
        <v>513.4</v>
      </c>
      <c r="J24" s="34">
        <v>585.3</v>
      </c>
      <c r="K24" s="34">
        <f t="shared" si="0"/>
        <v>71.89999999999998</v>
      </c>
      <c r="L24" s="245">
        <v>5</v>
      </c>
      <c r="M24" s="32">
        <f>I4/K46*K24</f>
        <v>11410.912904556184</v>
      </c>
      <c r="N24" s="39">
        <f t="shared" si="1"/>
        <v>22.226164597888946</v>
      </c>
      <c r="O24" s="82">
        <f t="shared" si="2"/>
        <v>1.8521803831574122</v>
      </c>
      <c r="P24" s="73">
        <f>1430.67+596.81</f>
        <v>2027.48</v>
      </c>
      <c r="Q24" s="73">
        <f>P24/1.96</f>
        <v>1034.4285714285716</v>
      </c>
    </row>
    <row r="25" spans="1:16" s="38" customFormat="1" ht="12.75">
      <c r="A25" s="68">
        <v>12</v>
      </c>
      <c r="B25" s="227" t="s">
        <v>256</v>
      </c>
      <c r="C25" s="228"/>
      <c r="D25" s="228"/>
      <c r="E25" s="228"/>
      <c r="F25" s="227">
        <v>2</v>
      </c>
      <c r="G25" s="227">
        <v>2</v>
      </c>
      <c r="H25" s="229">
        <v>8</v>
      </c>
      <c r="I25" s="230">
        <v>371.4</v>
      </c>
      <c r="J25" s="230">
        <v>410.8</v>
      </c>
      <c r="K25" s="230">
        <f t="shared" si="0"/>
        <v>39.400000000000034</v>
      </c>
      <c r="L25" s="245">
        <v>5</v>
      </c>
      <c r="M25" s="32">
        <f>I4/K46*K25</f>
        <v>6252.989825306177</v>
      </c>
      <c r="N25" s="39">
        <f aca="true" t="shared" si="3" ref="N25:N45">M25/I25</f>
        <v>16.836267704109257</v>
      </c>
      <c r="O25" s="81">
        <f aca="true" t="shared" si="4" ref="O25:O45">N25/12</f>
        <v>1.4030223086757714</v>
      </c>
      <c r="P25" s="83"/>
    </row>
    <row r="26" spans="1:15" ht="12.75">
      <c r="A26" s="68">
        <v>13</v>
      </c>
      <c r="B26" s="227" t="s">
        <v>257</v>
      </c>
      <c r="C26" s="228"/>
      <c r="D26" s="228"/>
      <c r="E26" s="228"/>
      <c r="F26" s="227">
        <v>2</v>
      </c>
      <c r="G26" s="227">
        <v>1</v>
      </c>
      <c r="H26" s="229">
        <v>10</v>
      </c>
      <c r="I26" s="230">
        <v>340.1</v>
      </c>
      <c r="J26" s="230">
        <v>377.8</v>
      </c>
      <c r="K26" s="230">
        <f t="shared" si="0"/>
        <v>37.69999999999999</v>
      </c>
      <c r="L26" s="245">
        <v>3</v>
      </c>
      <c r="M26" s="32">
        <f>I4/K46*K26</f>
        <v>5983.190771930016</v>
      </c>
      <c r="N26" s="39">
        <f t="shared" si="3"/>
        <v>17.59244566871513</v>
      </c>
      <c r="O26" s="81">
        <f t="shared" si="4"/>
        <v>1.466037139059594</v>
      </c>
    </row>
    <row r="27" spans="1:15" ht="12.75">
      <c r="A27" s="68">
        <v>14</v>
      </c>
      <c r="B27" s="227" t="s">
        <v>258</v>
      </c>
      <c r="C27" s="228"/>
      <c r="D27" s="228"/>
      <c r="E27" s="228"/>
      <c r="F27" s="227">
        <v>2</v>
      </c>
      <c r="G27" s="227"/>
      <c r="H27" s="229">
        <v>4</v>
      </c>
      <c r="I27" s="230">
        <v>270.5</v>
      </c>
      <c r="J27" s="230">
        <v>310.8</v>
      </c>
      <c r="K27" s="230">
        <f t="shared" si="0"/>
        <v>40.30000000000001</v>
      </c>
      <c r="L27" s="245">
        <v>0</v>
      </c>
      <c r="M27" s="32">
        <f>I4/K46*K27</f>
        <v>6395.82461827002</v>
      </c>
      <c r="N27" s="39">
        <f t="shared" si="3"/>
        <v>23.644453302292128</v>
      </c>
      <c r="O27" s="81">
        <f t="shared" si="4"/>
        <v>1.970371108524344</v>
      </c>
    </row>
    <row r="28" spans="1:15" ht="12.75">
      <c r="A28" s="68">
        <v>15</v>
      </c>
      <c r="B28" s="227" t="s">
        <v>259</v>
      </c>
      <c r="C28" s="228"/>
      <c r="D28" s="228"/>
      <c r="E28" s="228"/>
      <c r="F28" s="227">
        <v>2</v>
      </c>
      <c r="G28" s="227">
        <v>2</v>
      </c>
      <c r="H28" s="229">
        <v>8</v>
      </c>
      <c r="I28" s="230">
        <v>508.9</v>
      </c>
      <c r="J28" s="230">
        <v>610.1</v>
      </c>
      <c r="K28" s="230">
        <f t="shared" si="0"/>
        <v>101.20000000000005</v>
      </c>
      <c r="L28" s="245">
        <v>5</v>
      </c>
      <c r="M28" s="32">
        <f>I4/K46*K28</f>
        <v>16060.978942156979</v>
      </c>
      <c r="N28" s="39">
        <f t="shared" si="3"/>
        <v>31.560186563483946</v>
      </c>
      <c r="O28" s="81">
        <f t="shared" si="4"/>
        <v>2.6300155469569955</v>
      </c>
    </row>
    <row r="29" spans="1:15" ht="12.75">
      <c r="A29" s="68">
        <v>16</v>
      </c>
      <c r="B29" s="227" t="s">
        <v>260</v>
      </c>
      <c r="C29" s="228"/>
      <c r="D29" s="228"/>
      <c r="E29" s="228"/>
      <c r="F29" s="227">
        <v>1</v>
      </c>
      <c r="G29" s="227">
        <v>1</v>
      </c>
      <c r="H29" s="229">
        <v>10</v>
      </c>
      <c r="I29" s="230">
        <v>668.9</v>
      </c>
      <c r="J29" s="230">
        <v>717.7</v>
      </c>
      <c r="K29" s="230">
        <f t="shared" si="0"/>
        <v>48.80000000000007</v>
      </c>
      <c r="L29" s="245">
        <v>5</v>
      </c>
      <c r="M29" s="32">
        <f>I4/K46*K29</f>
        <v>7744.819885150803</v>
      </c>
      <c r="N29" s="39">
        <f t="shared" si="3"/>
        <v>11.578442046869194</v>
      </c>
      <c r="O29" s="81">
        <f t="shared" si="4"/>
        <v>0.9648701705724329</v>
      </c>
    </row>
    <row r="30" spans="1:15" ht="12.75">
      <c r="A30" s="68">
        <v>17</v>
      </c>
      <c r="B30" s="227" t="s">
        <v>261</v>
      </c>
      <c r="C30" s="228"/>
      <c r="D30" s="228"/>
      <c r="E30" s="228"/>
      <c r="F30" s="227">
        <v>2</v>
      </c>
      <c r="G30" s="227">
        <v>0</v>
      </c>
      <c r="H30" s="229">
        <v>6</v>
      </c>
      <c r="I30" s="230">
        <v>266.1</v>
      </c>
      <c r="J30" s="230">
        <v>326.6</v>
      </c>
      <c r="K30" s="230">
        <f t="shared" si="0"/>
        <v>60.5</v>
      </c>
      <c r="L30" s="245">
        <v>5</v>
      </c>
      <c r="M30" s="32">
        <f>I4/K46*K30</f>
        <v>9601.672193680797</v>
      </c>
      <c r="N30" s="39">
        <f t="shared" si="3"/>
        <v>36.08294698865387</v>
      </c>
      <c r="O30" s="81">
        <f t="shared" si="4"/>
        <v>3.0069122490544893</v>
      </c>
    </row>
    <row r="31" spans="1:15" ht="12.75">
      <c r="A31" s="68">
        <v>18</v>
      </c>
      <c r="B31" s="188" t="s">
        <v>262</v>
      </c>
      <c r="C31" s="228"/>
      <c r="D31" s="228"/>
      <c r="E31" s="228"/>
      <c r="F31" s="227">
        <v>2</v>
      </c>
      <c r="G31" s="227">
        <v>1</v>
      </c>
      <c r="H31" s="229">
        <v>8</v>
      </c>
      <c r="I31" s="230">
        <v>331.1</v>
      </c>
      <c r="J31" s="230">
        <v>363.8</v>
      </c>
      <c r="K31" s="230">
        <f t="shared" si="0"/>
        <v>32.69999999999999</v>
      </c>
      <c r="L31" s="245">
        <v>5</v>
      </c>
      <c r="M31" s="32">
        <f>I4/K46*K31</f>
        <v>5189.664144353091</v>
      </c>
      <c r="N31" s="39">
        <f t="shared" si="3"/>
        <v>15.674008288592843</v>
      </c>
      <c r="O31" s="81">
        <f t="shared" si="4"/>
        <v>1.3061673573827368</v>
      </c>
    </row>
    <row r="32" spans="1:15" ht="12.75">
      <c r="A32" s="68">
        <v>19</v>
      </c>
      <c r="B32" s="188" t="s">
        <v>263</v>
      </c>
      <c r="C32" s="228"/>
      <c r="D32" s="228"/>
      <c r="E32" s="228"/>
      <c r="F32" s="227">
        <v>2</v>
      </c>
      <c r="G32" s="227">
        <v>1</v>
      </c>
      <c r="H32" s="229">
        <v>8</v>
      </c>
      <c r="I32" s="230">
        <v>335.1</v>
      </c>
      <c r="J32" s="230">
        <v>361.4</v>
      </c>
      <c r="K32" s="230">
        <f t="shared" si="0"/>
        <v>26.299999999999955</v>
      </c>
      <c r="L32" s="245">
        <v>5</v>
      </c>
      <c r="M32" s="32">
        <f>I4/K46*K32</f>
        <v>4173.95006105462</v>
      </c>
      <c r="N32" s="39">
        <f t="shared" si="3"/>
        <v>12.455834261577499</v>
      </c>
      <c r="O32" s="81">
        <f t="shared" si="4"/>
        <v>1.0379861884647916</v>
      </c>
    </row>
    <row r="33" spans="1:15" ht="12.75">
      <c r="A33" s="68">
        <v>20</v>
      </c>
      <c r="B33" s="227" t="s">
        <v>264</v>
      </c>
      <c r="C33" s="228"/>
      <c r="D33" s="228"/>
      <c r="E33" s="228"/>
      <c r="F33" s="227">
        <v>2</v>
      </c>
      <c r="G33" s="227">
        <v>1</v>
      </c>
      <c r="H33" s="229">
        <v>8</v>
      </c>
      <c r="I33" s="230">
        <v>336.9</v>
      </c>
      <c r="J33" s="230">
        <v>376.9</v>
      </c>
      <c r="K33" s="230">
        <f t="shared" si="0"/>
        <v>40</v>
      </c>
      <c r="L33" s="245">
        <v>5</v>
      </c>
      <c r="M33" s="32">
        <f>I4/K46*K33</f>
        <v>6348.213020615403</v>
      </c>
      <c r="N33" s="39">
        <f t="shared" si="3"/>
        <v>18.843018761102414</v>
      </c>
      <c r="O33" s="81">
        <f t="shared" si="4"/>
        <v>1.5702515634252012</v>
      </c>
    </row>
    <row r="34" spans="1:15" ht="12.75">
      <c r="A34" s="68">
        <v>21</v>
      </c>
      <c r="B34" s="227" t="s">
        <v>265</v>
      </c>
      <c r="C34" s="228"/>
      <c r="D34" s="228"/>
      <c r="E34" s="228"/>
      <c r="F34" s="227">
        <v>2</v>
      </c>
      <c r="G34" s="227">
        <v>1</v>
      </c>
      <c r="H34" s="229">
        <v>10</v>
      </c>
      <c r="I34" s="230">
        <v>328.3</v>
      </c>
      <c r="J34" s="230">
        <v>370.5</v>
      </c>
      <c r="K34" s="230">
        <f t="shared" si="0"/>
        <v>42.19999999999999</v>
      </c>
      <c r="L34" s="245">
        <v>5</v>
      </c>
      <c r="M34" s="32">
        <f>I4/K46*K34</f>
        <v>6697.364736749249</v>
      </c>
      <c r="N34" s="39">
        <f t="shared" si="3"/>
        <v>20.40013626789293</v>
      </c>
      <c r="O34" s="81">
        <f t="shared" si="4"/>
        <v>1.700011355657744</v>
      </c>
    </row>
    <row r="35" spans="1:15" ht="12.75">
      <c r="A35" s="68">
        <v>22</v>
      </c>
      <c r="B35" s="227" t="s">
        <v>266</v>
      </c>
      <c r="C35" s="228"/>
      <c r="D35" s="228"/>
      <c r="E35" s="228"/>
      <c r="F35" s="227">
        <v>2</v>
      </c>
      <c r="G35" s="227">
        <v>1</v>
      </c>
      <c r="H35" s="229">
        <v>12</v>
      </c>
      <c r="I35" s="230">
        <v>328.6</v>
      </c>
      <c r="J35" s="230">
        <v>361.5</v>
      </c>
      <c r="K35" s="230">
        <f t="shared" si="0"/>
        <v>32.89999999999998</v>
      </c>
      <c r="L35" s="245">
        <v>5</v>
      </c>
      <c r="M35" s="32">
        <f>I4/K46*K35</f>
        <v>5221.405209456166</v>
      </c>
      <c r="N35" s="39">
        <f t="shared" si="3"/>
        <v>15.889851519951812</v>
      </c>
      <c r="O35" s="81">
        <f t="shared" si="4"/>
        <v>1.3241542933293176</v>
      </c>
    </row>
    <row r="36" spans="1:15" ht="12.75">
      <c r="A36" s="68">
        <v>23</v>
      </c>
      <c r="B36" s="227" t="s">
        <v>267</v>
      </c>
      <c r="C36" s="228"/>
      <c r="D36" s="228"/>
      <c r="E36" s="228"/>
      <c r="F36" s="227">
        <v>2</v>
      </c>
      <c r="G36" s="227"/>
      <c r="H36" s="229">
        <v>6</v>
      </c>
      <c r="I36" s="230">
        <v>234.1</v>
      </c>
      <c r="J36" s="230">
        <v>257.5</v>
      </c>
      <c r="K36" s="230">
        <f t="shared" si="0"/>
        <v>23.400000000000006</v>
      </c>
      <c r="L36" s="245">
        <v>5</v>
      </c>
      <c r="M36" s="32">
        <f>I4/K46*K36</f>
        <v>3713.704617060012</v>
      </c>
      <c r="N36" s="39">
        <f t="shared" si="3"/>
        <v>15.863753169842</v>
      </c>
      <c r="O36" s="81">
        <f t="shared" si="4"/>
        <v>1.3219794308201667</v>
      </c>
    </row>
    <row r="37" spans="1:15" ht="12.75">
      <c r="A37" s="68">
        <v>24</v>
      </c>
      <c r="B37" s="34" t="s">
        <v>190</v>
      </c>
      <c r="C37" s="228"/>
      <c r="D37" s="228"/>
      <c r="E37" s="228"/>
      <c r="F37" s="227">
        <v>2</v>
      </c>
      <c r="G37" s="227">
        <v>1</v>
      </c>
      <c r="H37" s="229">
        <v>8</v>
      </c>
      <c r="I37" s="230">
        <v>329.1</v>
      </c>
      <c r="J37" s="230">
        <v>372.5</v>
      </c>
      <c r="K37" s="230">
        <f t="shared" si="0"/>
        <v>43.39999999999998</v>
      </c>
      <c r="L37" s="245">
        <v>5</v>
      </c>
      <c r="M37" s="32">
        <f>I4/K46*K37</f>
        <v>6887.811127367709</v>
      </c>
      <c r="N37" s="39">
        <f t="shared" si="3"/>
        <v>20.92923466231452</v>
      </c>
      <c r="O37" s="81">
        <f t="shared" si="4"/>
        <v>1.74410288852621</v>
      </c>
    </row>
    <row r="38" spans="1:15" ht="12.75">
      <c r="A38" s="68">
        <v>25</v>
      </c>
      <c r="B38" s="227" t="s">
        <v>268</v>
      </c>
      <c r="C38" s="228"/>
      <c r="D38" s="228"/>
      <c r="E38" s="228"/>
      <c r="F38" s="227">
        <v>2</v>
      </c>
      <c r="G38" s="227">
        <v>2</v>
      </c>
      <c r="H38" s="229">
        <v>12</v>
      </c>
      <c r="I38" s="230">
        <v>516.6</v>
      </c>
      <c r="J38" s="230">
        <v>578.8</v>
      </c>
      <c r="K38" s="230">
        <f t="shared" si="0"/>
        <v>62.19999999999993</v>
      </c>
      <c r="L38" s="245">
        <v>5</v>
      </c>
      <c r="M38" s="32">
        <f>I4/K46*K38</f>
        <v>9871.471247056941</v>
      </c>
      <c r="N38" s="39">
        <f t="shared" si="3"/>
        <v>19.108538999335927</v>
      </c>
      <c r="O38" s="81">
        <f t="shared" si="4"/>
        <v>1.5923782499446606</v>
      </c>
    </row>
    <row r="39" spans="1:15" ht="12.75">
      <c r="A39" s="68">
        <v>26</v>
      </c>
      <c r="B39" s="227" t="s">
        <v>269</v>
      </c>
      <c r="C39" s="228"/>
      <c r="D39" s="228"/>
      <c r="E39" s="228"/>
      <c r="F39" s="227">
        <v>2</v>
      </c>
      <c r="G39" s="227">
        <v>2</v>
      </c>
      <c r="H39" s="229">
        <v>12</v>
      </c>
      <c r="I39" s="230">
        <v>498</v>
      </c>
      <c r="J39" s="230">
        <v>540.4</v>
      </c>
      <c r="K39" s="230">
        <f t="shared" si="0"/>
        <v>42.39999999999998</v>
      </c>
      <c r="L39" s="245">
        <v>5</v>
      </c>
      <c r="M39" s="32">
        <f>I4/K46*K39</f>
        <v>6729.105801852324</v>
      </c>
      <c r="N39" s="39">
        <f t="shared" si="3"/>
        <v>13.512260646289807</v>
      </c>
      <c r="O39" s="81">
        <f t="shared" si="4"/>
        <v>1.1260217205241505</v>
      </c>
    </row>
    <row r="40" spans="1:15" ht="12.75">
      <c r="A40" s="68">
        <v>27</v>
      </c>
      <c r="B40" s="227" t="s">
        <v>193</v>
      </c>
      <c r="C40" s="228"/>
      <c r="D40" s="228"/>
      <c r="E40" s="228"/>
      <c r="F40" s="227">
        <v>2</v>
      </c>
      <c r="G40" s="227">
        <v>2</v>
      </c>
      <c r="H40" s="229">
        <v>12</v>
      </c>
      <c r="I40" s="230">
        <v>513.4</v>
      </c>
      <c r="J40" s="230">
        <v>584.1</v>
      </c>
      <c r="K40" s="230">
        <f t="shared" si="0"/>
        <v>70.70000000000005</v>
      </c>
      <c r="L40" s="245">
        <v>5</v>
      </c>
      <c r="M40" s="32">
        <f>I4/K46*K40</f>
        <v>11220.466513937732</v>
      </c>
      <c r="N40" s="39">
        <f t="shared" si="3"/>
        <v>21.855213311136993</v>
      </c>
      <c r="O40" s="81">
        <f t="shared" si="4"/>
        <v>1.8212677759280826</v>
      </c>
    </row>
    <row r="41" spans="1:15" ht="12.75">
      <c r="A41" s="68">
        <v>28</v>
      </c>
      <c r="B41" s="227" t="s">
        <v>270</v>
      </c>
      <c r="C41" s="228"/>
      <c r="D41" s="228"/>
      <c r="E41" s="228"/>
      <c r="F41" s="227">
        <v>2</v>
      </c>
      <c r="G41" s="227">
        <v>3</v>
      </c>
      <c r="H41" s="229">
        <v>12</v>
      </c>
      <c r="I41" s="230">
        <v>522.8</v>
      </c>
      <c r="J41" s="230">
        <v>578.8</v>
      </c>
      <c r="K41" s="230">
        <f t="shared" si="0"/>
        <v>56</v>
      </c>
      <c r="L41" s="245">
        <v>5</v>
      </c>
      <c r="M41" s="32">
        <f>I4/K46*K41</f>
        <v>8887.498228861565</v>
      </c>
      <c r="N41" s="39">
        <f t="shared" si="3"/>
        <v>16.999805334471244</v>
      </c>
      <c r="O41" s="81">
        <f t="shared" si="4"/>
        <v>1.4166504445392702</v>
      </c>
    </row>
    <row r="42" spans="1:15" ht="12.75">
      <c r="A42" s="68">
        <v>29</v>
      </c>
      <c r="B42" s="227" t="s">
        <v>271</v>
      </c>
      <c r="C42" s="228"/>
      <c r="D42" s="228"/>
      <c r="E42" s="228"/>
      <c r="F42" s="227">
        <v>2</v>
      </c>
      <c r="G42" s="227">
        <v>1</v>
      </c>
      <c r="H42" s="229">
        <v>10</v>
      </c>
      <c r="I42" s="230">
        <v>329.9</v>
      </c>
      <c r="J42" s="230">
        <v>363.6</v>
      </c>
      <c r="K42" s="230">
        <f t="shared" si="0"/>
        <v>33.700000000000045</v>
      </c>
      <c r="L42" s="245">
        <v>5</v>
      </c>
      <c r="M42" s="32">
        <f>I4/K46*K42</f>
        <v>5348.369469868485</v>
      </c>
      <c r="N42" s="39">
        <f t="shared" si="3"/>
        <v>16.21209296716728</v>
      </c>
      <c r="O42" s="81">
        <f t="shared" si="4"/>
        <v>1.35100774726394</v>
      </c>
    </row>
    <row r="43" spans="1:15" ht="12.75">
      <c r="A43" s="68">
        <v>30</v>
      </c>
      <c r="B43" s="227" t="s">
        <v>272</v>
      </c>
      <c r="C43" s="228"/>
      <c r="D43" s="228"/>
      <c r="E43" s="228"/>
      <c r="F43" s="227">
        <v>2</v>
      </c>
      <c r="G43" s="227">
        <v>1</v>
      </c>
      <c r="H43" s="229">
        <v>10</v>
      </c>
      <c r="I43" s="230">
        <v>330.4</v>
      </c>
      <c r="J43" s="230">
        <v>370.1</v>
      </c>
      <c r="K43" s="230">
        <f t="shared" si="0"/>
        <v>39.700000000000045</v>
      </c>
      <c r="L43" s="245">
        <v>5</v>
      </c>
      <c r="M43" s="32">
        <f>I4/K46*K43</f>
        <v>6300.601422960795</v>
      </c>
      <c r="N43" s="39">
        <f t="shared" si="3"/>
        <v>19.069616897581103</v>
      </c>
      <c r="O43" s="81">
        <f t="shared" si="4"/>
        <v>1.5891347414650918</v>
      </c>
    </row>
    <row r="44" spans="1:15" ht="12.75">
      <c r="A44" s="68">
        <v>31</v>
      </c>
      <c r="B44" s="227" t="s">
        <v>273</v>
      </c>
      <c r="C44" s="228"/>
      <c r="D44" s="228"/>
      <c r="E44" s="228"/>
      <c r="F44" s="227">
        <v>2</v>
      </c>
      <c r="G44" s="227">
        <v>2</v>
      </c>
      <c r="H44" s="229">
        <v>12</v>
      </c>
      <c r="I44" s="230">
        <v>601</v>
      </c>
      <c r="J44" s="230">
        <v>661.1</v>
      </c>
      <c r="K44" s="230">
        <f t="shared" si="0"/>
        <v>60.10000000000002</v>
      </c>
      <c r="L44" s="245">
        <v>5</v>
      </c>
      <c r="M44" s="32">
        <f>I4/K46*K44</f>
        <v>9538.190063474647</v>
      </c>
      <c r="N44" s="39">
        <f t="shared" si="3"/>
        <v>15.870532551538515</v>
      </c>
      <c r="O44" s="81">
        <f t="shared" si="4"/>
        <v>1.3225443792948763</v>
      </c>
    </row>
    <row r="45" spans="1:15" ht="13.5" thickBot="1">
      <c r="A45" s="68">
        <v>32</v>
      </c>
      <c r="B45" s="227" t="s">
        <v>274</v>
      </c>
      <c r="C45" s="228"/>
      <c r="D45" s="228"/>
      <c r="E45" s="228"/>
      <c r="F45" s="227">
        <v>2</v>
      </c>
      <c r="G45" s="227">
        <v>2</v>
      </c>
      <c r="H45" s="229">
        <v>12</v>
      </c>
      <c r="I45" s="230">
        <v>491.1</v>
      </c>
      <c r="J45" s="230">
        <v>535.1</v>
      </c>
      <c r="K45" s="230">
        <f t="shared" si="0"/>
        <v>44</v>
      </c>
      <c r="L45" s="245">
        <v>5</v>
      </c>
      <c r="M45" s="32">
        <f>I4/K46*K45</f>
        <v>6983.034322676944</v>
      </c>
      <c r="N45" s="39">
        <f t="shared" si="3"/>
        <v>14.219169869022487</v>
      </c>
      <c r="O45" s="81">
        <f t="shared" si="4"/>
        <v>1.1849308224185406</v>
      </c>
    </row>
    <row r="46" spans="1:15" ht="12.75">
      <c r="A46" s="35">
        <v>13</v>
      </c>
      <c r="B46" s="36" t="s">
        <v>123</v>
      </c>
      <c r="C46" s="36"/>
      <c r="D46" s="36"/>
      <c r="E46" s="36"/>
      <c r="F46" s="36"/>
      <c r="G46" s="36">
        <f>SUM(G14:G45)</f>
        <v>40</v>
      </c>
      <c r="H46" s="36">
        <f>SUM(H14:H45)</f>
        <v>298</v>
      </c>
      <c r="I46" s="36">
        <f>SUM(I14:I45)</f>
        <v>12408.4</v>
      </c>
      <c r="J46" s="36">
        <f>SUM(J14:J45)</f>
        <v>13939.1</v>
      </c>
      <c r="K46" s="36">
        <f>SUM(K14:K45)</f>
        <v>1530.7000000000003</v>
      </c>
      <c r="L46" s="36"/>
      <c r="M46" s="36">
        <f>I4</f>
        <v>242930.2417664</v>
      </c>
      <c r="N46" s="36"/>
      <c r="O46" s="36"/>
    </row>
  </sheetData>
  <sheetProtection password="81F5" sheet="1"/>
  <mergeCells count="8">
    <mergeCell ref="A1:O1"/>
    <mergeCell ref="L9:L12"/>
    <mergeCell ref="E9:E12"/>
    <mergeCell ref="J9:J12"/>
    <mergeCell ref="K9:K12"/>
    <mergeCell ref="M9:M12"/>
    <mergeCell ref="N9:N12"/>
    <mergeCell ref="O9:O12"/>
  </mergeCells>
  <printOptions/>
  <pageMargins left="0.7874015748031497" right="0.1968503937007874" top="0.5905511811023623" bottom="0.1968503937007874" header="0.5118110236220472" footer="0.5118110236220472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view="pageBreakPreview" zoomScaleSheetLayoutView="100" zoomScalePageLayoutView="0" workbookViewId="0" topLeftCell="A1">
      <pane xSplit="2" ySplit="8" topLeftCell="C36" activePane="bottomRight" state="frozen"/>
      <selection pane="topLeft" activeCell="F37" sqref="F37"/>
      <selection pane="topRight" activeCell="F37" sqref="F37"/>
      <selection pane="bottomLeft" activeCell="F37" sqref="F37"/>
      <selection pane="bottomRight" activeCell="I37" sqref="I37"/>
    </sheetView>
  </sheetViews>
  <sheetFormatPr defaultColWidth="9.00390625" defaultRowHeight="12.75"/>
  <cols>
    <col min="1" max="1" width="5.375" style="42" customWidth="1"/>
    <col min="2" max="2" width="18.625" style="42" customWidth="1"/>
    <col min="3" max="3" width="9.125" style="42" hidden="1" customWidth="1"/>
    <col min="4" max="4" width="13.00390625" style="42" hidden="1" customWidth="1"/>
    <col min="5" max="5" width="6.125" style="42" hidden="1" customWidth="1"/>
    <col min="6" max="6" width="6.625" style="42" customWidth="1"/>
    <col min="7" max="7" width="7.00390625" style="42" customWidth="1"/>
    <col min="8" max="8" width="8.00390625" style="42" customWidth="1"/>
    <col min="9" max="11" width="8.625" style="42" customWidth="1"/>
    <col min="12" max="12" width="14.375" style="44" customWidth="1"/>
    <col min="13" max="13" width="10.25390625" style="44" customWidth="1"/>
    <col min="14" max="14" width="10.875" style="44" customWidth="1"/>
    <col min="15" max="16384" width="9.125" style="44" customWidth="1"/>
  </cols>
  <sheetData>
    <row r="1" spans="1:14" s="28" customFormat="1" ht="25.5" customHeight="1">
      <c r="A1" s="285" t="s">
        <v>185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</row>
    <row r="2" spans="1:11" s="28" customFormat="1" ht="14.25">
      <c r="A2" s="26"/>
      <c r="B2" s="176"/>
      <c r="C2" s="176"/>
      <c r="D2" s="176"/>
      <c r="E2" s="176"/>
      <c r="F2" s="176"/>
      <c r="G2" s="176"/>
      <c r="H2" s="176"/>
      <c r="I2" s="176"/>
      <c r="J2" s="27"/>
      <c r="K2" s="27"/>
    </row>
    <row r="3" spans="1:11" s="28" customFormat="1" ht="14.25">
      <c r="A3" s="26"/>
      <c r="B3" s="176" t="s">
        <v>174</v>
      </c>
      <c r="C3" s="176"/>
      <c r="D3" s="176"/>
      <c r="E3" s="176"/>
      <c r="F3" s="176"/>
      <c r="G3" s="176"/>
      <c r="H3" s="177"/>
      <c r="I3" s="178">
        <f>I42*0.26*12</f>
        <v>38714.208</v>
      </c>
      <c r="J3" s="27"/>
      <c r="K3" s="27"/>
    </row>
    <row r="4" spans="1:11" s="28" customFormat="1" ht="13.5" thickBo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4" s="28" customFormat="1" ht="29.25" customHeight="1">
      <c r="A5" s="74" t="s">
        <v>102</v>
      </c>
      <c r="B5" s="75" t="s">
        <v>103</v>
      </c>
      <c r="C5" s="76" t="s">
        <v>104</v>
      </c>
      <c r="D5" s="75" t="s">
        <v>105</v>
      </c>
      <c r="E5" s="299" t="s">
        <v>106</v>
      </c>
      <c r="F5" s="75" t="s">
        <v>107</v>
      </c>
      <c r="G5" s="76" t="s">
        <v>107</v>
      </c>
      <c r="H5" s="75" t="s">
        <v>107</v>
      </c>
      <c r="I5" s="77" t="s">
        <v>108</v>
      </c>
      <c r="J5" s="308" t="s">
        <v>156</v>
      </c>
      <c r="K5" s="308" t="s">
        <v>157</v>
      </c>
      <c r="L5" s="302" t="s">
        <v>305</v>
      </c>
      <c r="M5" s="302" t="s">
        <v>306</v>
      </c>
      <c r="N5" s="305" t="s">
        <v>307</v>
      </c>
    </row>
    <row r="6" spans="1:14" s="28" customFormat="1" ht="12.75" customHeight="1">
      <c r="A6" s="70"/>
      <c r="B6" s="30" t="s">
        <v>109</v>
      </c>
      <c r="C6" s="31" t="s">
        <v>110</v>
      </c>
      <c r="D6" s="30" t="s">
        <v>111</v>
      </c>
      <c r="E6" s="300"/>
      <c r="F6" s="30" t="s">
        <v>112</v>
      </c>
      <c r="G6" s="31" t="s">
        <v>113</v>
      </c>
      <c r="H6" s="30" t="s">
        <v>114</v>
      </c>
      <c r="I6" s="29" t="s">
        <v>115</v>
      </c>
      <c r="J6" s="309"/>
      <c r="K6" s="309"/>
      <c r="L6" s="303"/>
      <c r="M6" s="303"/>
      <c r="N6" s="306"/>
    </row>
    <row r="7" spans="1:14" s="28" customFormat="1" ht="12.75">
      <c r="A7" s="70"/>
      <c r="B7" s="30"/>
      <c r="C7" s="31"/>
      <c r="D7" s="30" t="s">
        <v>116</v>
      </c>
      <c r="E7" s="300"/>
      <c r="F7" s="30"/>
      <c r="G7" s="31" t="s">
        <v>117</v>
      </c>
      <c r="H7" s="30"/>
      <c r="I7" s="29" t="s">
        <v>118</v>
      </c>
      <c r="J7" s="309"/>
      <c r="K7" s="309"/>
      <c r="L7" s="303"/>
      <c r="M7" s="303"/>
      <c r="N7" s="306"/>
    </row>
    <row r="8" spans="1:14" s="28" customFormat="1" ht="40.5" customHeight="1" thickBot="1">
      <c r="A8" s="78"/>
      <c r="B8" s="69"/>
      <c r="C8" s="79"/>
      <c r="D8" s="69"/>
      <c r="E8" s="301"/>
      <c r="F8" s="69"/>
      <c r="G8" s="79"/>
      <c r="H8" s="69"/>
      <c r="I8" s="80" t="s">
        <v>119</v>
      </c>
      <c r="J8" s="310"/>
      <c r="K8" s="310"/>
      <c r="L8" s="304"/>
      <c r="M8" s="304"/>
      <c r="N8" s="307"/>
    </row>
    <row r="9" spans="1:14" s="33" customFormat="1" ht="12.75">
      <c r="A9" s="84">
        <v>1</v>
      </c>
      <c r="B9" s="85">
        <v>2</v>
      </c>
      <c r="C9" s="84">
        <v>3</v>
      </c>
      <c r="D9" s="85">
        <v>4</v>
      </c>
      <c r="E9" s="84">
        <v>5</v>
      </c>
      <c r="F9" s="85">
        <v>6</v>
      </c>
      <c r="G9" s="84">
        <v>7</v>
      </c>
      <c r="H9" s="85">
        <v>8</v>
      </c>
      <c r="I9" s="84">
        <v>9</v>
      </c>
      <c r="J9" s="85">
        <v>10</v>
      </c>
      <c r="K9" s="84">
        <v>11</v>
      </c>
      <c r="L9" s="85">
        <v>12</v>
      </c>
      <c r="M9" s="84">
        <v>13</v>
      </c>
      <c r="N9" s="85">
        <v>14</v>
      </c>
    </row>
    <row r="10" spans="1:14" s="33" customFormat="1" ht="12.75">
      <c r="A10" s="68">
        <v>1</v>
      </c>
      <c r="B10" s="188" t="s">
        <v>188</v>
      </c>
      <c r="C10" s="34">
        <v>1982</v>
      </c>
      <c r="D10" s="34" t="s">
        <v>121</v>
      </c>
      <c r="E10" s="34">
        <v>21.2</v>
      </c>
      <c r="F10" s="188">
        <v>2</v>
      </c>
      <c r="G10" s="188">
        <v>1</v>
      </c>
      <c r="H10" s="188">
        <v>10</v>
      </c>
      <c r="I10" s="188">
        <v>336.2</v>
      </c>
      <c r="J10" s="190">
        <v>382.8</v>
      </c>
      <c r="K10" s="34">
        <f aca="true" t="shared" si="0" ref="K10:K41">J10-I10</f>
        <v>46.60000000000002</v>
      </c>
      <c r="L10" s="32">
        <f>L42/I42*I10</f>
        <v>1048.944</v>
      </c>
      <c r="M10" s="39">
        <f aca="true" t="shared" si="1" ref="M10:M15">L10/I10</f>
        <v>3.12</v>
      </c>
      <c r="N10" s="81">
        <f>M10/12</f>
        <v>0.26</v>
      </c>
    </row>
    <row r="11" spans="1:14" s="38" customFormat="1" ht="12.75">
      <c r="A11" s="68">
        <v>2</v>
      </c>
      <c r="B11" s="188" t="s">
        <v>189</v>
      </c>
      <c r="C11" s="34">
        <v>1982</v>
      </c>
      <c r="D11" s="34" t="s">
        <v>120</v>
      </c>
      <c r="E11" s="34">
        <v>44</v>
      </c>
      <c r="F11" s="188">
        <v>2</v>
      </c>
      <c r="G11" s="188">
        <v>1</v>
      </c>
      <c r="H11" s="188">
        <v>9</v>
      </c>
      <c r="I11" s="188">
        <v>334</v>
      </c>
      <c r="J11" s="190">
        <v>380.8</v>
      </c>
      <c r="K11" s="34">
        <f t="shared" si="0"/>
        <v>46.80000000000001</v>
      </c>
      <c r="L11" s="32">
        <f>L42/I42*I11</f>
        <v>1042.08</v>
      </c>
      <c r="M11" s="39">
        <f t="shared" si="1"/>
        <v>3.1199999999999997</v>
      </c>
      <c r="N11" s="81">
        <f aca="true" t="shared" si="2" ref="N11:N18">M11/12</f>
        <v>0.25999999999999995</v>
      </c>
    </row>
    <row r="12" spans="1:14" s="38" customFormat="1" ht="12.75">
      <c r="A12" s="68">
        <v>3</v>
      </c>
      <c r="B12" s="188" t="s">
        <v>196</v>
      </c>
      <c r="C12" s="37">
        <v>1980</v>
      </c>
      <c r="D12" s="37" t="s">
        <v>122</v>
      </c>
      <c r="E12" s="37">
        <f>19.2+0.8</f>
        <v>20</v>
      </c>
      <c r="F12" s="37">
        <v>2</v>
      </c>
      <c r="G12" s="37">
        <v>1</v>
      </c>
      <c r="H12" s="37">
        <v>4</v>
      </c>
      <c r="I12" s="37">
        <v>240.4</v>
      </c>
      <c r="J12" s="34">
        <v>274</v>
      </c>
      <c r="K12" s="34">
        <f t="shared" si="0"/>
        <v>33.599999999999994</v>
      </c>
      <c r="L12" s="32">
        <f>L42/I42*I12</f>
        <v>750.048</v>
      </c>
      <c r="M12" s="39">
        <f t="shared" si="1"/>
        <v>3.12</v>
      </c>
      <c r="N12" s="81">
        <f t="shared" si="2"/>
        <v>0.26</v>
      </c>
    </row>
    <row r="13" spans="1:14" s="38" customFormat="1" ht="12.75">
      <c r="A13" s="68">
        <v>4</v>
      </c>
      <c r="B13" s="189" t="s">
        <v>194</v>
      </c>
      <c r="C13" s="34">
        <v>1999</v>
      </c>
      <c r="D13" s="34" t="s">
        <v>120</v>
      </c>
      <c r="E13" s="34">
        <v>10</v>
      </c>
      <c r="F13" s="189">
        <v>2</v>
      </c>
      <c r="G13" s="189">
        <v>1</v>
      </c>
      <c r="H13" s="189">
        <v>10</v>
      </c>
      <c r="I13" s="189">
        <v>334.6</v>
      </c>
      <c r="J13" s="188">
        <v>381.4</v>
      </c>
      <c r="K13" s="34">
        <f t="shared" si="0"/>
        <v>46.799999999999955</v>
      </c>
      <c r="L13" s="32">
        <f>L42/I42*I13</f>
        <v>1043.952</v>
      </c>
      <c r="M13" s="39">
        <f t="shared" si="1"/>
        <v>3.1199999999999997</v>
      </c>
      <c r="N13" s="81">
        <f t="shared" si="2"/>
        <v>0.25999999999999995</v>
      </c>
    </row>
    <row r="14" spans="1:14" s="38" customFormat="1" ht="12.75">
      <c r="A14" s="68">
        <v>5</v>
      </c>
      <c r="B14" s="188" t="s">
        <v>195</v>
      </c>
      <c r="C14" s="173"/>
      <c r="D14" s="173"/>
      <c r="E14" s="173"/>
      <c r="F14" s="188">
        <v>2</v>
      </c>
      <c r="G14" s="188">
        <v>1</v>
      </c>
      <c r="H14" s="188">
        <v>10</v>
      </c>
      <c r="I14" s="188">
        <v>340.4</v>
      </c>
      <c r="J14" s="188">
        <v>388.1</v>
      </c>
      <c r="K14" s="34">
        <f t="shared" si="0"/>
        <v>47.700000000000045</v>
      </c>
      <c r="L14" s="32">
        <f>L42/I42*I14</f>
        <v>1062.048</v>
      </c>
      <c r="M14" s="39">
        <f t="shared" si="1"/>
        <v>3.12</v>
      </c>
      <c r="N14" s="81">
        <f t="shared" si="2"/>
        <v>0.26</v>
      </c>
    </row>
    <row r="15" spans="1:14" s="38" customFormat="1" ht="12.75">
      <c r="A15" s="68">
        <v>6</v>
      </c>
      <c r="B15" s="188" t="s">
        <v>191</v>
      </c>
      <c r="C15" s="173">
        <v>1985</v>
      </c>
      <c r="D15" s="173" t="s">
        <v>120</v>
      </c>
      <c r="E15" s="173"/>
      <c r="F15" s="188">
        <v>2</v>
      </c>
      <c r="G15" s="188">
        <v>1</v>
      </c>
      <c r="H15" s="188">
        <v>8</v>
      </c>
      <c r="I15" s="188">
        <v>321.9</v>
      </c>
      <c r="J15" s="188">
        <v>367</v>
      </c>
      <c r="K15" s="173">
        <f t="shared" si="0"/>
        <v>45.10000000000002</v>
      </c>
      <c r="L15" s="32">
        <f>L42/I42*I15</f>
        <v>1004.328</v>
      </c>
      <c r="M15" s="39">
        <f t="shared" si="1"/>
        <v>3.12</v>
      </c>
      <c r="N15" s="81">
        <f>M15/12</f>
        <v>0.26</v>
      </c>
    </row>
    <row r="16" spans="1:14" s="67" customFormat="1" ht="12.75">
      <c r="A16" s="68">
        <v>7</v>
      </c>
      <c r="B16" s="188" t="s">
        <v>192</v>
      </c>
      <c r="C16" s="34">
        <v>1983</v>
      </c>
      <c r="D16" s="34" t="s">
        <v>120</v>
      </c>
      <c r="E16" s="34">
        <v>42</v>
      </c>
      <c r="F16" s="188">
        <v>2</v>
      </c>
      <c r="G16" s="188">
        <v>1</v>
      </c>
      <c r="H16" s="188">
        <v>9</v>
      </c>
      <c r="I16" s="188">
        <v>326.6</v>
      </c>
      <c r="J16" s="188">
        <v>371.9</v>
      </c>
      <c r="K16" s="34">
        <f t="shared" si="0"/>
        <v>45.299999999999955</v>
      </c>
      <c r="L16" s="32">
        <f>L42/I42*I16</f>
        <v>1018.9920000000001</v>
      </c>
      <c r="M16" s="39">
        <f>L16/I16</f>
        <v>3.12</v>
      </c>
      <c r="N16" s="81">
        <f t="shared" si="2"/>
        <v>0.26</v>
      </c>
    </row>
    <row r="17" spans="1:14" s="67" customFormat="1" ht="12.75">
      <c r="A17" s="68">
        <v>8</v>
      </c>
      <c r="B17" s="188" t="s">
        <v>186</v>
      </c>
      <c r="C17" s="34">
        <v>1981</v>
      </c>
      <c r="D17" s="34" t="s">
        <v>120</v>
      </c>
      <c r="E17" s="34">
        <v>46</v>
      </c>
      <c r="F17" s="188">
        <v>2</v>
      </c>
      <c r="G17" s="188">
        <v>2</v>
      </c>
      <c r="H17" s="188">
        <v>12</v>
      </c>
      <c r="I17" s="34">
        <v>489.7</v>
      </c>
      <c r="J17" s="190">
        <v>558.3</v>
      </c>
      <c r="K17" s="34">
        <f t="shared" si="0"/>
        <v>68.59999999999997</v>
      </c>
      <c r="L17" s="32">
        <f>L42/I42*I17</f>
        <v>1527.864</v>
      </c>
      <c r="M17" s="39">
        <f>L17/I17</f>
        <v>3.12</v>
      </c>
      <c r="N17" s="81">
        <f t="shared" si="2"/>
        <v>0.26</v>
      </c>
    </row>
    <row r="18" spans="1:14" s="67" customFormat="1" ht="12.75">
      <c r="A18" s="68">
        <v>9</v>
      </c>
      <c r="B18" s="188" t="s">
        <v>187</v>
      </c>
      <c r="C18" s="34">
        <v>1981</v>
      </c>
      <c r="D18" s="34" t="s">
        <v>120</v>
      </c>
      <c r="E18" s="34">
        <v>46</v>
      </c>
      <c r="F18" s="188">
        <v>1</v>
      </c>
      <c r="G18" s="188">
        <v>1</v>
      </c>
      <c r="H18" s="188">
        <v>8</v>
      </c>
      <c r="I18" s="34">
        <v>389.2</v>
      </c>
      <c r="J18" s="190">
        <v>443.7</v>
      </c>
      <c r="K18" s="34">
        <f t="shared" si="0"/>
        <v>54.5</v>
      </c>
      <c r="L18" s="32">
        <f>L42/I42*I18</f>
        <v>1214.304</v>
      </c>
      <c r="M18" s="39">
        <f>L18/I18</f>
        <v>3.12</v>
      </c>
      <c r="N18" s="81">
        <f t="shared" si="2"/>
        <v>0.26</v>
      </c>
    </row>
    <row r="19" spans="1:14" s="67" customFormat="1" ht="12.75">
      <c r="A19" s="68">
        <v>10</v>
      </c>
      <c r="B19" s="34" t="s">
        <v>190</v>
      </c>
      <c r="C19" s="34">
        <v>1984</v>
      </c>
      <c r="D19" s="34" t="s">
        <v>120</v>
      </c>
      <c r="E19" s="34">
        <v>40</v>
      </c>
      <c r="F19" s="188">
        <v>2</v>
      </c>
      <c r="G19" s="188">
        <v>1</v>
      </c>
      <c r="H19" s="188">
        <v>8</v>
      </c>
      <c r="I19" s="188">
        <v>329.7</v>
      </c>
      <c r="J19" s="34">
        <v>375.9</v>
      </c>
      <c r="K19" s="34">
        <f t="shared" si="0"/>
        <v>46.19999999999999</v>
      </c>
      <c r="L19" s="32">
        <f>L42/I42*I19</f>
        <v>1028.664</v>
      </c>
      <c r="M19" s="39">
        <f>L19/I19</f>
        <v>3.12</v>
      </c>
      <c r="N19" s="81">
        <f>M19/12</f>
        <v>0.26</v>
      </c>
    </row>
    <row r="20" spans="1:14" s="73" customFormat="1" ht="12.75">
      <c r="A20" s="68">
        <v>11</v>
      </c>
      <c r="B20" s="188" t="s">
        <v>193</v>
      </c>
      <c r="C20" s="34">
        <v>1986</v>
      </c>
      <c r="D20" s="34" t="s">
        <v>120</v>
      </c>
      <c r="E20" s="34">
        <v>36</v>
      </c>
      <c r="F20" s="188">
        <v>2</v>
      </c>
      <c r="G20" s="188">
        <v>2</v>
      </c>
      <c r="H20" s="188">
        <v>12</v>
      </c>
      <c r="I20" s="34">
        <v>513.4</v>
      </c>
      <c r="J20" s="34">
        <v>585.3</v>
      </c>
      <c r="K20" s="34">
        <f t="shared" si="0"/>
        <v>71.89999999999998</v>
      </c>
      <c r="L20" s="32">
        <f>L42/I42*I20</f>
        <v>1601.808</v>
      </c>
      <c r="M20" s="39">
        <f aca="true" t="shared" si="3" ref="M20:M41">L20/I20</f>
        <v>3.12</v>
      </c>
      <c r="N20" s="81">
        <f aca="true" t="shared" si="4" ref="N20:N41">M20/12</f>
        <v>0.26</v>
      </c>
    </row>
    <row r="21" spans="1:14" s="38" customFormat="1" ht="12.75">
      <c r="A21" s="68">
        <v>12</v>
      </c>
      <c r="B21" s="227" t="s">
        <v>256</v>
      </c>
      <c r="C21" s="228"/>
      <c r="D21" s="228"/>
      <c r="E21" s="228"/>
      <c r="F21" s="227">
        <v>2</v>
      </c>
      <c r="G21" s="227">
        <v>2</v>
      </c>
      <c r="H21" s="229">
        <v>8</v>
      </c>
      <c r="I21" s="230">
        <v>371.4</v>
      </c>
      <c r="J21" s="230">
        <v>410.8</v>
      </c>
      <c r="K21" s="230">
        <f t="shared" si="0"/>
        <v>39.400000000000034</v>
      </c>
      <c r="L21" s="32">
        <f>L42/I42*I21</f>
        <v>1158.768</v>
      </c>
      <c r="M21" s="39">
        <f t="shared" si="3"/>
        <v>3.12</v>
      </c>
      <c r="N21" s="81">
        <f t="shared" si="4"/>
        <v>0.26</v>
      </c>
    </row>
    <row r="22" spans="1:14" ht="12.75">
      <c r="A22" s="68">
        <v>13</v>
      </c>
      <c r="B22" s="227" t="s">
        <v>257</v>
      </c>
      <c r="C22" s="228"/>
      <c r="D22" s="228"/>
      <c r="E22" s="228"/>
      <c r="F22" s="227">
        <v>2</v>
      </c>
      <c r="G22" s="227">
        <v>1</v>
      </c>
      <c r="H22" s="229">
        <v>10</v>
      </c>
      <c r="I22" s="230">
        <v>340.1</v>
      </c>
      <c r="J22" s="230">
        <v>377.8</v>
      </c>
      <c r="K22" s="230">
        <f t="shared" si="0"/>
        <v>37.69999999999999</v>
      </c>
      <c r="L22" s="32">
        <f>L42/I42*I22</f>
        <v>1061.112</v>
      </c>
      <c r="M22" s="39">
        <f t="shared" si="3"/>
        <v>3.12</v>
      </c>
      <c r="N22" s="81">
        <f t="shared" si="4"/>
        <v>0.26</v>
      </c>
    </row>
    <row r="23" spans="1:14" ht="12.75">
      <c r="A23" s="68">
        <v>14</v>
      </c>
      <c r="B23" s="227" t="s">
        <v>258</v>
      </c>
      <c r="C23" s="228"/>
      <c r="D23" s="228"/>
      <c r="E23" s="228"/>
      <c r="F23" s="227">
        <v>2</v>
      </c>
      <c r="G23" s="227"/>
      <c r="H23" s="229">
        <v>4</v>
      </c>
      <c r="I23" s="230">
        <v>270.5</v>
      </c>
      <c r="J23" s="230">
        <v>310.8</v>
      </c>
      <c r="K23" s="230">
        <f t="shared" si="0"/>
        <v>40.30000000000001</v>
      </c>
      <c r="L23" s="32">
        <f>L42/I42*I23</f>
        <v>843.96</v>
      </c>
      <c r="M23" s="39">
        <f t="shared" si="3"/>
        <v>3.12</v>
      </c>
      <c r="N23" s="81">
        <f t="shared" si="4"/>
        <v>0.26</v>
      </c>
    </row>
    <row r="24" spans="1:14" ht="12.75">
      <c r="A24" s="68">
        <v>15</v>
      </c>
      <c r="B24" s="227" t="s">
        <v>259</v>
      </c>
      <c r="C24" s="228"/>
      <c r="D24" s="228"/>
      <c r="E24" s="228"/>
      <c r="F24" s="227">
        <v>2</v>
      </c>
      <c r="G24" s="227">
        <v>2</v>
      </c>
      <c r="H24" s="229">
        <v>8</v>
      </c>
      <c r="I24" s="230">
        <v>508.9</v>
      </c>
      <c r="J24" s="230">
        <v>610.1</v>
      </c>
      <c r="K24" s="230">
        <f t="shared" si="0"/>
        <v>101.20000000000005</v>
      </c>
      <c r="L24" s="32">
        <f>L42/I42*I24</f>
        <v>1587.768</v>
      </c>
      <c r="M24" s="39">
        <f t="shared" si="3"/>
        <v>3.12</v>
      </c>
      <c r="N24" s="81">
        <f t="shared" si="4"/>
        <v>0.26</v>
      </c>
    </row>
    <row r="25" spans="1:14" ht="12.75">
      <c r="A25" s="68">
        <v>16</v>
      </c>
      <c r="B25" s="227" t="s">
        <v>260</v>
      </c>
      <c r="C25" s="228"/>
      <c r="D25" s="228"/>
      <c r="E25" s="228"/>
      <c r="F25" s="227">
        <v>1</v>
      </c>
      <c r="G25" s="227">
        <v>1</v>
      </c>
      <c r="H25" s="229">
        <v>10</v>
      </c>
      <c r="I25" s="230">
        <v>668.9</v>
      </c>
      <c r="J25" s="230">
        <v>717.7</v>
      </c>
      <c r="K25" s="230">
        <f t="shared" si="0"/>
        <v>48.80000000000007</v>
      </c>
      <c r="L25" s="32">
        <f>L42/I42*I25</f>
        <v>2086.968</v>
      </c>
      <c r="M25" s="39">
        <f t="shared" si="3"/>
        <v>3.1199999999999997</v>
      </c>
      <c r="N25" s="81">
        <f t="shared" si="4"/>
        <v>0.25999999999999995</v>
      </c>
    </row>
    <row r="26" spans="1:14" s="42" customFormat="1" ht="12.75">
      <c r="A26" s="68">
        <v>17</v>
      </c>
      <c r="B26" s="227" t="s">
        <v>261</v>
      </c>
      <c r="C26" s="228"/>
      <c r="D26" s="228"/>
      <c r="E26" s="228"/>
      <c r="F26" s="227">
        <v>2</v>
      </c>
      <c r="G26" s="227">
        <v>0</v>
      </c>
      <c r="H26" s="229">
        <v>6</v>
      </c>
      <c r="I26" s="230">
        <v>266.1</v>
      </c>
      <c r="J26" s="230">
        <v>326.6</v>
      </c>
      <c r="K26" s="230">
        <f t="shared" si="0"/>
        <v>60.5</v>
      </c>
      <c r="L26" s="32">
        <f>L42/I42*I26</f>
        <v>830.2320000000001</v>
      </c>
      <c r="M26" s="39">
        <f t="shared" si="3"/>
        <v>3.12</v>
      </c>
      <c r="N26" s="81">
        <f t="shared" si="4"/>
        <v>0.26</v>
      </c>
    </row>
    <row r="27" spans="1:14" ht="12.75">
      <c r="A27" s="68">
        <v>18</v>
      </c>
      <c r="B27" s="188" t="s">
        <v>262</v>
      </c>
      <c r="C27" s="228"/>
      <c r="D27" s="228"/>
      <c r="E27" s="228"/>
      <c r="F27" s="227">
        <v>2</v>
      </c>
      <c r="G27" s="227">
        <v>1</v>
      </c>
      <c r="H27" s="229">
        <v>8</v>
      </c>
      <c r="I27" s="230">
        <v>331.1</v>
      </c>
      <c r="J27" s="230">
        <v>363.8</v>
      </c>
      <c r="K27" s="230">
        <f t="shared" si="0"/>
        <v>32.69999999999999</v>
      </c>
      <c r="L27" s="32">
        <f>L42/I42*I27</f>
        <v>1033.0320000000002</v>
      </c>
      <c r="M27" s="39">
        <f t="shared" si="3"/>
        <v>3.12</v>
      </c>
      <c r="N27" s="81">
        <f t="shared" si="4"/>
        <v>0.26</v>
      </c>
    </row>
    <row r="28" spans="1:14" ht="12.75">
      <c r="A28" s="68">
        <v>19</v>
      </c>
      <c r="B28" s="188" t="s">
        <v>263</v>
      </c>
      <c r="C28" s="228"/>
      <c r="D28" s="228"/>
      <c r="E28" s="228"/>
      <c r="F28" s="227">
        <v>2</v>
      </c>
      <c r="G28" s="227">
        <v>1</v>
      </c>
      <c r="H28" s="229">
        <v>8</v>
      </c>
      <c r="I28" s="230">
        <v>335.1</v>
      </c>
      <c r="J28" s="230">
        <v>361.4</v>
      </c>
      <c r="K28" s="230">
        <f t="shared" si="0"/>
        <v>26.299999999999955</v>
      </c>
      <c r="L28" s="32">
        <f>L42/I42*I28</f>
        <v>1045.5120000000002</v>
      </c>
      <c r="M28" s="39">
        <f t="shared" si="3"/>
        <v>3.12</v>
      </c>
      <c r="N28" s="81">
        <f t="shared" si="4"/>
        <v>0.26</v>
      </c>
    </row>
    <row r="29" spans="1:14" ht="12.75">
      <c r="A29" s="68">
        <v>20</v>
      </c>
      <c r="B29" s="227" t="s">
        <v>264</v>
      </c>
      <c r="C29" s="228"/>
      <c r="D29" s="228"/>
      <c r="E29" s="228"/>
      <c r="F29" s="227">
        <v>2</v>
      </c>
      <c r="G29" s="227">
        <v>1</v>
      </c>
      <c r="H29" s="229">
        <v>8</v>
      </c>
      <c r="I29" s="230">
        <v>336.9</v>
      </c>
      <c r="J29" s="230">
        <v>376.9</v>
      </c>
      <c r="K29" s="230">
        <f t="shared" si="0"/>
        <v>40</v>
      </c>
      <c r="L29" s="32">
        <f>L42/I42*I29</f>
        <v>1051.128</v>
      </c>
      <c r="M29" s="39">
        <f t="shared" si="3"/>
        <v>3.12</v>
      </c>
      <c r="N29" s="81">
        <f t="shared" si="4"/>
        <v>0.26</v>
      </c>
    </row>
    <row r="30" spans="1:14" ht="12.75">
      <c r="A30" s="68">
        <v>21</v>
      </c>
      <c r="B30" s="227" t="s">
        <v>265</v>
      </c>
      <c r="C30" s="228"/>
      <c r="D30" s="228"/>
      <c r="E30" s="228"/>
      <c r="F30" s="227">
        <v>2</v>
      </c>
      <c r="G30" s="227">
        <v>1</v>
      </c>
      <c r="H30" s="229">
        <v>10</v>
      </c>
      <c r="I30" s="230">
        <v>328.3</v>
      </c>
      <c r="J30" s="230">
        <v>370.5</v>
      </c>
      <c r="K30" s="230">
        <f t="shared" si="0"/>
        <v>42.19999999999999</v>
      </c>
      <c r="L30" s="32">
        <f>L42/I42*I30</f>
        <v>1024.296</v>
      </c>
      <c r="M30" s="39">
        <f t="shared" si="3"/>
        <v>3.12</v>
      </c>
      <c r="N30" s="81">
        <f t="shared" si="4"/>
        <v>0.26</v>
      </c>
    </row>
    <row r="31" spans="1:14" ht="12.75">
      <c r="A31" s="68">
        <v>22</v>
      </c>
      <c r="B31" s="227" t="s">
        <v>266</v>
      </c>
      <c r="C31" s="228"/>
      <c r="D31" s="228"/>
      <c r="E31" s="228"/>
      <c r="F31" s="227">
        <v>2</v>
      </c>
      <c r="G31" s="227">
        <v>1</v>
      </c>
      <c r="H31" s="229">
        <v>12</v>
      </c>
      <c r="I31" s="230">
        <v>328.6</v>
      </c>
      <c r="J31" s="230">
        <v>361.5</v>
      </c>
      <c r="K31" s="230">
        <f t="shared" si="0"/>
        <v>32.89999999999998</v>
      </c>
      <c r="L31" s="32">
        <f>L42/I42*I31</f>
        <v>1025.2320000000002</v>
      </c>
      <c r="M31" s="39">
        <f t="shared" si="3"/>
        <v>3.1200000000000006</v>
      </c>
      <c r="N31" s="81">
        <f t="shared" si="4"/>
        <v>0.26000000000000006</v>
      </c>
    </row>
    <row r="32" spans="1:14" ht="12.75">
      <c r="A32" s="68">
        <v>23</v>
      </c>
      <c r="B32" s="227" t="s">
        <v>267</v>
      </c>
      <c r="C32" s="228"/>
      <c r="D32" s="228"/>
      <c r="E32" s="228"/>
      <c r="F32" s="227">
        <v>2</v>
      </c>
      <c r="G32" s="227"/>
      <c r="H32" s="229">
        <v>6</v>
      </c>
      <c r="I32" s="230">
        <v>234.1</v>
      </c>
      <c r="J32" s="230">
        <v>257.5</v>
      </c>
      <c r="K32" s="230">
        <f t="shared" si="0"/>
        <v>23.400000000000006</v>
      </c>
      <c r="L32" s="32">
        <f>L42/I42*I32</f>
        <v>730.392</v>
      </c>
      <c r="M32" s="39">
        <f t="shared" si="3"/>
        <v>3.12</v>
      </c>
      <c r="N32" s="81">
        <f t="shared" si="4"/>
        <v>0.26</v>
      </c>
    </row>
    <row r="33" spans="1:14" ht="12.75">
      <c r="A33" s="68">
        <v>24</v>
      </c>
      <c r="B33" s="34" t="s">
        <v>190</v>
      </c>
      <c r="C33" s="228"/>
      <c r="D33" s="228"/>
      <c r="E33" s="228"/>
      <c r="F33" s="227">
        <v>2</v>
      </c>
      <c r="G33" s="227">
        <v>1</v>
      </c>
      <c r="H33" s="229">
        <v>8</v>
      </c>
      <c r="I33" s="230">
        <v>329.1</v>
      </c>
      <c r="J33" s="230">
        <v>372.5</v>
      </c>
      <c r="K33" s="230">
        <f t="shared" si="0"/>
        <v>43.39999999999998</v>
      </c>
      <c r="L33" s="32">
        <f>L42/I42*I33</f>
        <v>1026.7920000000001</v>
      </c>
      <c r="M33" s="39">
        <f t="shared" si="3"/>
        <v>3.12</v>
      </c>
      <c r="N33" s="81">
        <f t="shared" si="4"/>
        <v>0.26</v>
      </c>
    </row>
    <row r="34" spans="1:14" ht="12.75">
      <c r="A34" s="68">
        <v>25</v>
      </c>
      <c r="B34" s="227" t="s">
        <v>268</v>
      </c>
      <c r="C34" s="228"/>
      <c r="D34" s="228"/>
      <c r="E34" s="228"/>
      <c r="F34" s="227">
        <v>2</v>
      </c>
      <c r="G34" s="227">
        <v>2</v>
      </c>
      <c r="H34" s="229">
        <v>12</v>
      </c>
      <c r="I34" s="230">
        <v>516.6</v>
      </c>
      <c r="J34" s="230">
        <v>578.8</v>
      </c>
      <c r="K34" s="230">
        <f t="shared" si="0"/>
        <v>62.19999999999993</v>
      </c>
      <c r="L34" s="32">
        <f>L42/I42*I34</f>
        <v>1611.7920000000001</v>
      </c>
      <c r="M34" s="39">
        <f t="shared" si="3"/>
        <v>3.12</v>
      </c>
      <c r="N34" s="81">
        <f t="shared" si="4"/>
        <v>0.26</v>
      </c>
    </row>
    <row r="35" spans="1:14" ht="12.75">
      <c r="A35" s="68">
        <v>26</v>
      </c>
      <c r="B35" s="227" t="s">
        <v>269</v>
      </c>
      <c r="C35" s="228"/>
      <c r="D35" s="228"/>
      <c r="E35" s="228"/>
      <c r="F35" s="227">
        <v>2</v>
      </c>
      <c r="G35" s="227">
        <v>2</v>
      </c>
      <c r="H35" s="229">
        <v>12</v>
      </c>
      <c r="I35" s="230">
        <v>498</v>
      </c>
      <c r="J35" s="230">
        <v>540.4</v>
      </c>
      <c r="K35" s="230">
        <f t="shared" si="0"/>
        <v>42.39999999999998</v>
      </c>
      <c r="L35" s="32">
        <f>L42/I42*I35</f>
        <v>1553.76</v>
      </c>
      <c r="M35" s="39">
        <f t="shared" si="3"/>
        <v>3.12</v>
      </c>
      <c r="N35" s="81">
        <f t="shared" si="4"/>
        <v>0.26</v>
      </c>
    </row>
    <row r="36" spans="1:14" ht="12.75">
      <c r="A36" s="68">
        <v>27</v>
      </c>
      <c r="B36" s="227" t="s">
        <v>193</v>
      </c>
      <c r="C36" s="228"/>
      <c r="D36" s="228"/>
      <c r="E36" s="228"/>
      <c r="F36" s="227">
        <v>2</v>
      </c>
      <c r="G36" s="227">
        <v>2</v>
      </c>
      <c r="H36" s="229">
        <v>12</v>
      </c>
      <c r="I36" s="230">
        <v>513.4</v>
      </c>
      <c r="J36" s="230">
        <v>584.1</v>
      </c>
      <c r="K36" s="230">
        <f t="shared" si="0"/>
        <v>70.70000000000005</v>
      </c>
      <c r="L36" s="32">
        <f>L42/I42*I36</f>
        <v>1601.808</v>
      </c>
      <c r="M36" s="39">
        <f t="shared" si="3"/>
        <v>3.12</v>
      </c>
      <c r="N36" s="81">
        <f t="shared" si="4"/>
        <v>0.26</v>
      </c>
    </row>
    <row r="37" spans="1:14" ht="12.75">
      <c r="A37" s="68">
        <v>28</v>
      </c>
      <c r="B37" s="227" t="s">
        <v>270</v>
      </c>
      <c r="C37" s="228"/>
      <c r="D37" s="228"/>
      <c r="E37" s="228"/>
      <c r="F37" s="227">
        <v>2</v>
      </c>
      <c r="G37" s="227">
        <v>3</v>
      </c>
      <c r="H37" s="229">
        <v>12</v>
      </c>
      <c r="I37" s="230">
        <v>522.8</v>
      </c>
      <c r="J37" s="230">
        <v>578.8</v>
      </c>
      <c r="K37" s="230">
        <f t="shared" si="0"/>
        <v>56</v>
      </c>
      <c r="L37" s="32">
        <f>L42/I42*I37</f>
        <v>1631.136</v>
      </c>
      <c r="M37" s="39">
        <f t="shared" si="3"/>
        <v>3.12</v>
      </c>
      <c r="N37" s="81">
        <f t="shared" si="4"/>
        <v>0.26</v>
      </c>
    </row>
    <row r="38" spans="1:14" ht="12.75">
      <c r="A38" s="68">
        <v>29</v>
      </c>
      <c r="B38" s="227" t="s">
        <v>271</v>
      </c>
      <c r="C38" s="228"/>
      <c r="D38" s="228"/>
      <c r="E38" s="228"/>
      <c r="F38" s="227">
        <v>2</v>
      </c>
      <c r="G38" s="227">
        <v>1</v>
      </c>
      <c r="H38" s="229">
        <v>10</v>
      </c>
      <c r="I38" s="230">
        <v>329.9</v>
      </c>
      <c r="J38" s="230">
        <v>363.6</v>
      </c>
      <c r="K38" s="230">
        <f t="shared" si="0"/>
        <v>33.700000000000045</v>
      </c>
      <c r="L38" s="32">
        <f>L42/I42*I38</f>
        <v>1029.288</v>
      </c>
      <c r="M38" s="39">
        <f t="shared" si="3"/>
        <v>3.12</v>
      </c>
      <c r="N38" s="81">
        <f t="shared" si="4"/>
        <v>0.26</v>
      </c>
    </row>
    <row r="39" spans="1:14" ht="12.75">
      <c r="A39" s="68">
        <v>30</v>
      </c>
      <c r="B39" s="227" t="s">
        <v>272</v>
      </c>
      <c r="C39" s="228"/>
      <c r="D39" s="228"/>
      <c r="E39" s="228"/>
      <c r="F39" s="227">
        <v>2</v>
      </c>
      <c r="G39" s="227">
        <v>1</v>
      </c>
      <c r="H39" s="229">
        <v>10</v>
      </c>
      <c r="I39" s="230">
        <v>330.4</v>
      </c>
      <c r="J39" s="230">
        <v>370.1</v>
      </c>
      <c r="K39" s="230">
        <f t="shared" si="0"/>
        <v>39.700000000000045</v>
      </c>
      <c r="L39" s="32">
        <f>L42/I42*I39</f>
        <v>1030.848</v>
      </c>
      <c r="M39" s="39">
        <f t="shared" si="3"/>
        <v>3.12</v>
      </c>
      <c r="N39" s="81">
        <f t="shared" si="4"/>
        <v>0.26</v>
      </c>
    </row>
    <row r="40" spans="1:14" ht="12.75">
      <c r="A40" s="68">
        <v>31</v>
      </c>
      <c r="B40" s="227" t="s">
        <v>273</v>
      </c>
      <c r="C40" s="228"/>
      <c r="D40" s="228"/>
      <c r="E40" s="228"/>
      <c r="F40" s="227">
        <v>2</v>
      </c>
      <c r="G40" s="227">
        <v>2</v>
      </c>
      <c r="H40" s="229">
        <v>12</v>
      </c>
      <c r="I40" s="230">
        <v>601</v>
      </c>
      <c r="J40" s="230">
        <v>661.1</v>
      </c>
      <c r="K40" s="230">
        <f t="shared" si="0"/>
        <v>60.10000000000002</v>
      </c>
      <c r="L40" s="32">
        <f>L42/I42*I40</f>
        <v>1875.1200000000001</v>
      </c>
      <c r="M40" s="39">
        <f t="shared" si="3"/>
        <v>3.12</v>
      </c>
      <c r="N40" s="81">
        <f t="shared" si="4"/>
        <v>0.26</v>
      </c>
    </row>
    <row r="41" spans="1:14" ht="13.5" thickBot="1">
      <c r="A41" s="68">
        <v>32</v>
      </c>
      <c r="B41" s="227" t="s">
        <v>274</v>
      </c>
      <c r="C41" s="228"/>
      <c r="D41" s="228"/>
      <c r="E41" s="228"/>
      <c r="F41" s="227">
        <v>2</v>
      </c>
      <c r="G41" s="227">
        <v>2</v>
      </c>
      <c r="H41" s="229">
        <v>12</v>
      </c>
      <c r="I41" s="230">
        <v>491.1</v>
      </c>
      <c r="J41" s="230">
        <v>535.1</v>
      </c>
      <c r="K41" s="230">
        <f t="shared" si="0"/>
        <v>44</v>
      </c>
      <c r="L41" s="32">
        <f>L42/I42*I41</f>
        <v>1532.2320000000002</v>
      </c>
      <c r="M41" s="39">
        <f t="shared" si="3"/>
        <v>3.12</v>
      </c>
      <c r="N41" s="81">
        <f t="shared" si="4"/>
        <v>0.26</v>
      </c>
    </row>
    <row r="42" spans="1:14" ht="12.75">
      <c r="A42" s="35">
        <v>13</v>
      </c>
      <c r="B42" s="36" t="s">
        <v>123</v>
      </c>
      <c r="C42" s="36"/>
      <c r="D42" s="36"/>
      <c r="E42" s="36"/>
      <c r="F42" s="36"/>
      <c r="G42" s="36">
        <f>SUM(G10:G41)</f>
        <v>40</v>
      </c>
      <c r="H42" s="36">
        <f>SUM(H10:H41)</f>
        <v>298</v>
      </c>
      <c r="I42" s="36">
        <f>SUM(I10:I41)</f>
        <v>12408.4</v>
      </c>
      <c r="J42" s="36">
        <f>SUM(J10:J41)</f>
        <v>13939.1</v>
      </c>
      <c r="K42" s="36">
        <f>SUM(K10:K41)</f>
        <v>1530.7000000000003</v>
      </c>
      <c r="L42" s="72">
        <f>I3</f>
        <v>38714.208</v>
      </c>
      <c r="M42" s="72"/>
      <c r="N42" s="83"/>
    </row>
  </sheetData>
  <sheetProtection password="81F5" sheet="1" formatCells="0" formatColumns="0" formatRows="0" insertColumns="0" insertRows="0" insertHyperlinks="0" deleteColumns="0" deleteRows="0" sort="0" autoFilter="0" pivotTables="0"/>
  <mergeCells count="7">
    <mergeCell ref="A1:N1"/>
    <mergeCell ref="E5:E8"/>
    <mergeCell ref="J5:J8"/>
    <mergeCell ref="K5:K8"/>
    <mergeCell ref="L5:L8"/>
    <mergeCell ref="M5:M8"/>
    <mergeCell ref="N5:N8"/>
  </mergeCells>
  <printOptions/>
  <pageMargins left="0.7874015748031497" right="0.1968503937007874" top="0.5905511811023623" bottom="0.1968503937007874" header="0.5118110236220472" footer="0.5118110236220472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view="pageBreakPreview" zoomScaleSheetLayoutView="100" zoomScalePageLayoutView="0" workbookViewId="0" topLeftCell="A1">
      <selection activeCell="H15" sqref="H15"/>
    </sheetView>
  </sheetViews>
  <sheetFormatPr defaultColWidth="9.00390625" defaultRowHeight="12.75"/>
  <cols>
    <col min="1" max="1" width="5.375" style="42" customWidth="1"/>
    <col min="2" max="2" width="18.625" style="42" customWidth="1"/>
    <col min="3" max="3" width="9.125" style="42" hidden="1" customWidth="1"/>
    <col min="4" max="4" width="13.00390625" style="42" hidden="1" customWidth="1"/>
    <col min="5" max="5" width="6.125" style="42" hidden="1" customWidth="1"/>
    <col min="6" max="6" width="6.625" style="42" customWidth="1"/>
    <col min="7" max="7" width="7.00390625" style="42" customWidth="1"/>
    <col min="8" max="8" width="8.00390625" style="42" customWidth="1"/>
    <col min="9" max="11" width="8.625" style="42" customWidth="1"/>
    <col min="12" max="12" width="14.375" style="44" customWidth="1"/>
    <col min="13" max="13" width="10.25390625" style="44" customWidth="1"/>
    <col min="14" max="14" width="10.875" style="44" customWidth="1"/>
    <col min="15" max="16384" width="9.125" style="44" customWidth="1"/>
  </cols>
  <sheetData>
    <row r="1" spans="1:14" s="28" customFormat="1" ht="48.75" customHeight="1">
      <c r="A1" s="285" t="s">
        <v>160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</row>
    <row r="2" spans="1:14" s="28" customFormat="1" ht="18" customHeight="1">
      <c r="A2" s="181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</row>
    <row r="3" spans="1:12" s="28" customFormat="1" ht="15">
      <c r="A3" s="26"/>
      <c r="B3" s="175" t="s">
        <v>161</v>
      </c>
      <c r="C3" s="175"/>
      <c r="D3" s="175"/>
      <c r="E3" s="175"/>
      <c r="F3" s="175"/>
      <c r="G3" s="175"/>
      <c r="H3" s="175"/>
      <c r="I3" s="175"/>
      <c r="J3" s="175"/>
      <c r="K3" s="175"/>
      <c r="L3" s="179"/>
    </row>
    <row r="4" spans="1:12" s="28" customFormat="1" ht="15">
      <c r="A4" s="26"/>
      <c r="B4" s="175" t="s">
        <v>153</v>
      </c>
      <c r="C4" s="175"/>
      <c r="D4" s="175"/>
      <c r="E4" s="175"/>
      <c r="F4" s="175"/>
      <c r="G4" s="175"/>
      <c r="H4" s="179"/>
      <c r="I4" s="175"/>
      <c r="J4" s="175"/>
      <c r="K4" s="180">
        <f>K5*K6+K5*K7</f>
        <v>35205.7056</v>
      </c>
      <c r="L4" s="179" t="s">
        <v>167</v>
      </c>
    </row>
    <row r="5" spans="1:12" s="28" customFormat="1" ht="15">
      <c r="A5" s="26"/>
      <c r="B5" s="175" t="s">
        <v>162</v>
      </c>
      <c r="C5" s="175"/>
      <c r="D5" s="175"/>
      <c r="E5" s="175"/>
      <c r="F5" s="175"/>
      <c r="G5" s="175"/>
      <c r="H5" s="179"/>
      <c r="I5" s="179"/>
      <c r="J5" s="175"/>
      <c r="K5" s="180">
        <f>2*12</f>
        <v>24</v>
      </c>
      <c r="L5" s="179" t="s">
        <v>166</v>
      </c>
    </row>
    <row r="6" spans="1:12" s="28" customFormat="1" ht="13.5">
      <c r="A6" s="27"/>
      <c r="B6" s="175" t="s">
        <v>163</v>
      </c>
      <c r="C6" s="175"/>
      <c r="D6" s="175"/>
      <c r="E6" s="175"/>
      <c r="F6" s="175"/>
      <c r="G6" s="175"/>
      <c r="H6" s="179"/>
      <c r="I6" s="175"/>
      <c r="J6" s="175"/>
      <c r="K6" s="246">
        <f>729.58*1.18</f>
        <v>860.9044</v>
      </c>
      <c r="L6" s="179" t="s">
        <v>165</v>
      </c>
    </row>
    <row r="7" spans="1:12" s="28" customFormat="1" ht="13.5">
      <c r="A7" s="27"/>
      <c r="B7" s="175" t="s">
        <v>164</v>
      </c>
      <c r="C7" s="175"/>
      <c r="D7" s="175"/>
      <c r="E7" s="175"/>
      <c r="F7" s="175"/>
      <c r="G7" s="175"/>
      <c r="H7" s="179"/>
      <c r="I7" s="175"/>
      <c r="J7" s="175"/>
      <c r="K7" s="175">
        <v>606</v>
      </c>
      <c r="L7" s="179" t="s">
        <v>165</v>
      </c>
    </row>
    <row r="8" spans="1:11" s="28" customFormat="1" ht="13.5" thickBo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1:14" s="28" customFormat="1" ht="29.25" customHeight="1">
      <c r="A9" s="74" t="s">
        <v>102</v>
      </c>
      <c r="B9" s="75" t="s">
        <v>103</v>
      </c>
      <c r="C9" s="76" t="s">
        <v>104</v>
      </c>
      <c r="D9" s="75" t="s">
        <v>105</v>
      </c>
      <c r="E9" s="299" t="s">
        <v>106</v>
      </c>
      <c r="F9" s="75" t="s">
        <v>107</v>
      </c>
      <c r="G9" s="76" t="s">
        <v>107</v>
      </c>
      <c r="H9" s="75" t="s">
        <v>107</v>
      </c>
      <c r="I9" s="77" t="s">
        <v>108</v>
      </c>
      <c r="J9" s="308" t="s">
        <v>156</v>
      </c>
      <c r="K9" s="308" t="s">
        <v>157</v>
      </c>
      <c r="L9" s="302" t="s">
        <v>303</v>
      </c>
      <c r="M9" s="302" t="s">
        <v>301</v>
      </c>
      <c r="N9" s="305" t="s">
        <v>304</v>
      </c>
    </row>
    <row r="10" spans="1:14" s="28" customFormat="1" ht="12.75" customHeight="1">
      <c r="A10" s="70"/>
      <c r="B10" s="30" t="s">
        <v>109</v>
      </c>
      <c r="C10" s="31" t="s">
        <v>110</v>
      </c>
      <c r="D10" s="30" t="s">
        <v>111</v>
      </c>
      <c r="E10" s="300"/>
      <c r="F10" s="30" t="s">
        <v>112</v>
      </c>
      <c r="G10" s="31" t="s">
        <v>113</v>
      </c>
      <c r="H10" s="30" t="s">
        <v>114</v>
      </c>
      <c r="I10" s="29" t="s">
        <v>115</v>
      </c>
      <c r="J10" s="309"/>
      <c r="K10" s="309"/>
      <c r="L10" s="303"/>
      <c r="M10" s="303"/>
      <c r="N10" s="306"/>
    </row>
    <row r="11" spans="1:14" s="28" customFormat="1" ht="12.75">
      <c r="A11" s="70"/>
      <c r="B11" s="30"/>
      <c r="C11" s="31"/>
      <c r="D11" s="30" t="s">
        <v>116</v>
      </c>
      <c r="E11" s="300"/>
      <c r="F11" s="30"/>
      <c r="G11" s="31" t="s">
        <v>117</v>
      </c>
      <c r="H11" s="30"/>
      <c r="I11" s="29" t="s">
        <v>118</v>
      </c>
      <c r="J11" s="309"/>
      <c r="K11" s="309"/>
      <c r="L11" s="303"/>
      <c r="M11" s="303"/>
      <c r="N11" s="306"/>
    </row>
    <row r="12" spans="1:14" s="28" customFormat="1" ht="40.5" customHeight="1" thickBot="1">
      <c r="A12" s="78"/>
      <c r="B12" s="69"/>
      <c r="C12" s="79"/>
      <c r="D12" s="69"/>
      <c r="E12" s="301"/>
      <c r="F12" s="69"/>
      <c r="G12" s="79"/>
      <c r="H12" s="69"/>
      <c r="I12" s="80" t="s">
        <v>119</v>
      </c>
      <c r="J12" s="310"/>
      <c r="K12" s="310"/>
      <c r="L12" s="304"/>
      <c r="M12" s="304"/>
      <c r="N12" s="307"/>
    </row>
    <row r="13" spans="1:14" s="33" customFormat="1" ht="12.75">
      <c r="A13" s="84">
        <v>1</v>
      </c>
      <c r="B13" s="85">
        <v>2</v>
      </c>
      <c r="C13" s="84">
        <v>3</v>
      </c>
      <c r="D13" s="85">
        <v>4</v>
      </c>
      <c r="E13" s="84">
        <v>5</v>
      </c>
      <c r="F13" s="85">
        <v>6</v>
      </c>
      <c r="G13" s="84">
        <v>7</v>
      </c>
      <c r="H13" s="85">
        <v>8</v>
      </c>
      <c r="I13" s="84">
        <v>9</v>
      </c>
      <c r="J13" s="85">
        <v>10</v>
      </c>
      <c r="K13" s="84">
        <v>11</v>
      </c>
      <c r="L13" s="85">
        <v>12</v>
      </c>
      <c r="M13" s="84">
        <v>13</v>
      </c>
      <c r="N13" s="85">
        <v>14</v>
      </c>
    </row>
    <row r="14" spans="1:14" s="33" customFormat="1" ht="12.75">
      <c r="A14" s="68">
        <v>1</v>
      </c>
      <c r="B14" s="188" t="s">
        <v>188</v>
      </c>
      <c r="C14" s="34">
        <v>1982</v>
      </c>
      <c r="D14" s="34" t="s">
        <v>121</v>
      </c>
      <c r="E14" s="34">
        <v>21.2</v>
      </c>
      <c r="F14" s="188">
        <v>2</v>
      </c>
      <c r="G14" s="188">
        <v>1</v>
      </c>
      <c r="H14" s="188">
        <v>10</v>
      </c>
      <c r="I14" s="188">
        <v>336.2</v>
      </c>
      <c r="J14" s="190">
        <v>382.8</v>
      </c>
      <c r="K14" s="34">
        <f aca="true" t="shared" si="0" ref="K14:K45">J14-I14</f>
        <v>46.60000000000002</v>
      </c>
      <c r="L14" s="32">
        <f>L46/I46*I14</f>
        <v>953.8827103188163</v>
      </c>
      <c r="M14" s="39">
        <f aca="true" t="shared" si="1" ref="M14:M19">L14/I14</f>
        <v>2.8372477998775025</v>
      </c>
      <c r="N14" s="81">
        <f>M14/12</f>
        <v>0.23643731665645853</v>
      </c>
    </row>
    <row r="15" spans="1:14" s="38" customFormat="1" ht="12.75">
      <c r="A15" s="68">
        <v>2</v>
      </c>
      <c r="B15" s="188" t="s">
        <v>189</v>
      </c>
      <c r="C15" s="34">
        <v>1982</v>
      </c>
      <c r="D15" s="34" t="s">
        <v>120</v>
      </c>
      <c r="E15" s="34">
        <v>44</v>
      </c>
      <c r="F15" s="188">
        <v>2</v>
      </c>
      <c r="G15" s="188">
        <v>1</v>
      </c>
      <c r="H15" s="188">
        <v>9</v>
      </c>
      <c r="I15" s="188">
        <v>334</v>
      </c>
      <c r="J15" s="190">
        <v>380.8</v>
      </c>
      <c r="K15" s="34">
        <f t="shared" si="0"/>
        <v>46.80000000000001</v>
      </c>
      <c r="L15" s="32">
        <f>L46/I46*I15</f>
        <v>947.6407651590858</v>
      </c>
      <c r="M15" s="39">
        <f t="shared" si="1"/>
        <v>2.8372477998775025</v>
      </c>
      <c r="N15" s="81">
        <f aca="true" t="shared" si="2" ref="N15:N22">M15/12</f>
        <v>0.23643731665645853</v>
      </c>
    </row>
    <row r="16" spans="1:14" s="38" customFormat="1" ht="12.75">
      <c r="A16" s="68">
        <v>3</v>
      </c>
      <c r="B16" s="188" t="s">
        <v>196</v>
      </c>
      <c r="C16" s="37">
        <v>1980</v>
      </c>
      <c r="D16" s="37" t="s">
        <v>122</v>
      </c>
      <c r="E16" s="37">
        <f>19.2+0.8</f>
        <v>20</v>
      </c>
      <c r="F16" s="37">
        <v>2</v>
      </c>
      <c r="G16" s="37">
        <v>1</v>
      </c>
      <c r="H16" s="37">
        <v>4</v>
      </c>
      <c r="I16" s="37">
        <v>240.4</v>
      </c>
      <c r="J16" s="34">
        <v>274</v>
      </c>
      <c r="K16" s="34">
        <f t="shared" si="0"/>
        <v>33.599999999999994</v>
      </c>
      <c r="L16" s="32">
        <f>L46/I46*I16</f>
        <v>682.0743710905516</v>
      </c>
      <c r="M16" s="39">
        <f t="shared" si="1"/>
        <v>2.8372477998775025</v>
      </c>
      <c r="N16" s="81">
        <f t="shared" si="2"/>
        <v>0.23643731665645853</v>
      </c>
    </row>
    <row r="17" spans="1:14" s="38" customFormat="1" ht="12.75">
      <c r="A17" s="68">
        <v>4</v>
      </c>
      <c r="B17" s="189" t="s">
        <v>194</v>
      </c>
      <c r="C17" s="34">
        <v>1999</v>
      </c>
      <c r="D17" s="34" t="s">
        <v>120</v>
      </c>
      <c r="E17" s="34">
        <v>10</v>
      </c>
      <c r="F17" s="189">
        <v>2</v>
      </c>
      <c r="G17" s="189">
        <v>1</v>
      </c>
      <c r="H17" s="189">
        <v>10</v>
      </c>
      <c r="I17" s="189">
        <v>334.6</v>
      </c>
      <c r="J17" s="188">
        <v>381.4</v>
      </c>
      <c r="K17" s="34">
        <f t="shared" si="0"/>
        <v>46.799999999999955</v>
      </c>
      <c r="L17" s="32">
        <f>L46/I46*I17</f>
        <v>949.3431138390124</v>
      </c>
      <c r="M17" s="39">
        <f t="shared" si="1"/>
        <v>2.8372477998775025</v>
      </c>
      <c r="N17" s="81">
        <f t="shared" si="2"/>
        <v>0.23643731665645853</v>
      </c>
    </row>
    <row r="18" spans="1:14" s="38" customFormat="1" ht="12.75">
      <c r="A18" s="68">
        <v>5</v>
      </c>
      <c r="B18" s="188" t="s">
        <v>195</v>
      </c>
      <c r="C18" s="173"/>
      <c r="D18" s="173"/>
      <c r="E18" s="173"/>
      <c r="F18" s="188">
        <v>2</v>
      </c>
      <c r="G18" s="188">
        <v>1</v>
      </c>
      <c r="H18" s="188">
        <v>10</v>
      </c>
      <c r="I18" s="188">
        <v>340.4</v>
      </c>
      <c r="J18" s="188">
        <v>388.1</v>
      </c>
      <c r="K18" s="34">
        <f t="shared" si="0"/>
        <v>47.700000000000045</v>
      </c>
      <c r="L18" s="32">
        <f>L46/I46*I18</f>
        <v>965.7991510783017</v>
      </c>
      <c r="M18" s="39">
        <f t="shared" si="1"/>
        <v>2.8372477998775025</v>
      </c>
      <c r="N18" s="81">
        <f t="shared" si="2"/>
        <v>0.23643731665645853</v>
      </c>
    </row>
    <row r="19" spans="1:14" s="38" customFormat="1" ht="12.75">
      <c r="A19" s="68">
        <v>6</v>
      </c>
      <c r="B19" s="188" t="s">
        <v>191</v>
      </c>
      <c r="C19" s="173">
        <v>1985</v>
      </c>
      <c r="D19" s="173" t="s">
        <v>120</v>
      </c>
      <c r="E19" s="173"/>
      <c r="F19" s="188">
        <v>2</v>
      </c>
      <c r="G19" s="188">
        <v>1</v>
      </c>
      <c r="H19" s="188">
        <v>8</v>
      </c>
      <c r="I19" s="188">
        <v>321.9</v>
      </c>
      <c r="J19" s="188">
        <v>367</v>
      </c>
      <c r="K19" s="173">
        <f t="shared" si="0"/>
        <v>45.10000000000002</v>
      </c>
      <c r="L19" s="32">
        <f>L46/I46*I19</f>
        <v>913.310066780568</v>
      </c>
      <c r="M19" s="39">
        <f t="shared" si="1"/>
        <v>2.8372477998775025</v>
      </c>
      <c r="N19" s="81">
        <f>M19/12</f>
        <v>0.23643731665645853</v>
      </c>
    </row>
    <row r="20" spans="1:14" s="67" customFormat="1" ht="12.75">
      <c r="A20" s="68">
        <v>7</v>
      </c>
      <c r="B20" s="188" t="s">
        <v>192</v>
      </c>
      <c r="C20" s="34">
        <v>1983</v>
      </c>
      <c r="D20" s="34" t="s">
        <v>120</v>
      </c>
      <c r="E20" s="34">
        <v>42</v>
      </c>
      <c r="F20" s="188">
        <v>2</v>
      </c>
      <c r="G20" s="188">
        <v>1</v>
      </c>
      <c r="H20" s="188">
        <v>9</v>
      </c>
      <c r="I20" s="188">
        <v>326.6</v>
      </c>
      <c r="J20" s="188">
        <v>371.9</v>
      </c>
      <c r="K20" s="34">
        <f t="shared" si="0"/>
        <v>45.299999999999955</v>
      </c>
      <c r="L20" s="32">
        <f>L46/I46*I20</f>
        <v>926.6451314399924</v>
      </c>
      <c r="M20" s="39">
        <f>L20/I20</f>
        <v>2.8372477998775025</v>
      </c>
      <c r="N20" s="81">
        <f t="shared" si="2"/>
        <v>0.23643731665645853</v>
      </c>
    </row>
    <row r="21" spans="1:14" s="67" customFormat="1" ht="12.75">
      <c r="A21" s="68">
        <v>8</v>
      </c>
      <c r="B21" s="188" t="s">
        <v>186</v>
      </c>
      <c r="C21" s="34">
        <v>1981</v>
      </c>
      <c r="D21" s="34" t="s">
        <v>120</v>
      </c>
      <c r="E21" s="34">
        <v>46</v>
      </c>
      <c r="F21" s="188">
        <v>2</v>
      </c>
      <c r="G21" s="188">
        <v>2</v>
      </c>
      <c r="H21" s="188">
        <v>12</v>
      </c>
      <c r="I21" s="34">
        <v>489.7</v>
      </c>
      <c r="J21" s="190">
        <v>558.3</v>
      </c>
      <c r="K21" s="34">
        <f t="shared" si="0"/>
        <v>68.59999999999997</v>
      </c>
      <c r="L21" s="32">
        <f>L46/I46*I21</f>
        <v>1389.400247600013</v>
      </c>
      <c r="M21" s="39">
        <f>L21/I21</f>
        <v>2.8372477998775025</v>
      </c>
      <c r="N21" s="81">
        <f t="shared" si="2"/>
        <v>0.23643731665645853</v>
      </c>
    </row>
    <row r="22" spans="1:14" s="67" customFormat="1" ht="12.75">
      <c r="A22" s="68">
        <v>9</v>
      </c>
      <c r="B22" s="188" t="s">
        <v>187</v>
      </c>
      <c r="C22" s="34">
        <v>1981</v>
      </c>
      <c r="D22" s="34" t="s">
        <v>120</v>
      </c>
      <c r="E22" s="34">
        <v>46</v>
      </c>
      <c r="F22" s="188">
        <v>1</v>
      </c>
      <c r="G22" s="188">
        <v>1</v>
      </c>
      <c r="H22" s="188">
        <v>8</v>
      </c>
      <c r="I22" s="34">
        <v>389.2</v>
      </c>
      <c r="J22" s="190">
        <v>443.7</v>
      </c>
      <c r="K22" s="34">
        <f t="shared" si="0"/>
        <v>54.5</v>
      </c>
      <c r="L22" s="32">
        <f>L46/I46*I22</f>
        <v>1104.2568437123239</v>
      </c>
      <c r="M22" s="39">
        <f>L22/I22</f>
        <v>2.8372477998775025</v>
      </c>
      <c r="N22" s="81">
        <f t="shared" si="2"/>
        <v>0.23643731665645853</v>
      </c>
    </row>
    <row r="23" spans="1:14" s="67" customFormat="1" ht="12.75">
      <c r="A23" s="68">
        <v>10</v>
      </c>
      <c r="B23" s="34" t="s">
        <v>190</v>
      </c>
      <c r="C23" s="34">
        <v>1984</v>
      </c>
      <c r="D23" s="34" t="s">
        <v>120</v>
      </c>
      <c r="E23" s="34">
        <v>40</v>
      </c>
      <c r="F23" s="188">
        <v>2</v>
      </c>
      <c r="G23" s="188">
        <v>1</v>
      </c>
      <c r="H23" s="188">
        <v>8</v>
      </c>
      <c r="I23" s="188">
        <v>329.7</v>
      </c>
      <c r="J23" s="34">
        <v>375.9</v>
      </c>
      <c r="K23" s="34">
        <f t="shared" si="0"/>
        <v>46.19999999999999</v>
      </c>
      <c r="L23" s="32">
        <f>L46/I46*I23</f>
        <v>935.4405996196125</v>
      </c>
      <c r="M23" s="39">
        <f>L23/I23</f>
        <v>2.8372477998775025</v>
      </c>
      <c r="N23" s="81">
        <f>M23/12</f>
        <v>0.23643731665645853</v>
      </c>
    </row>
    <row r="24" spans="1:14" s="73" customFormat="1" ht="12.75">
      <c r="A24" s="68">
        <v>11</v>
      </c>
      <c r="B24" s="188" t="s">
        <v>193</v>
      </c>
      <c r="C24" s="34">
        <v>1986</v>
      </c>
      <c r="D24" s="34" t="s">
        <v>120</v>
      </c>
      <c r="E24" s="34">
        <v>36</v>
      </c>
      <c r="F24" s="188">
        <v>2</v>
      </c>
      <c r="G24" s="188">
        <v>2</v>
      </c>
      <c r="H24" s="188">
        <v>12</v>
      </c>
      <c r="I24" s="34">
        <v>513.4</v>
      </c>
      <c r="J24" s="34">
        <v>585.3</v>
      </c>
      <c r="K24" s="34">
        <f t="shared" si="0"/>
        <v>71.89999999999998</v>
      </c>
      <c r="L24" s="32">
        <f>L46/I46*I24</f>
        <v>1456.6430204571097</v>
      </c>
      <c r="M24" s="39">
        <f aca="true" t="shared" si="3" ref="M24:M45">L24/I24</f>
        <v>2.8372477998775025</v>
      </c>
      <c r="N24" s="81">
        <f aca="true" t="shared" si="4" ref="N24:N45">M24/12</f>
        <v>0.23643731665645853</v>
      </c>
    </row>
    <row r="25" spans="1:14" s="38" customFormat="1" ht="12.75">
      <c r="A25" s="68">
        <v>12</v>
      </c>
      <c r="B25" s="227" t="s">
        <v>256</v>
      </c>
      <c r="C25" s="228"/>
      <c r="D25" s="228"/>
      <c r="E25" s="228"/>
      <c r="F25" s="227">
        <v>2</v>
      </c>
      <c r="G25" s="227">
        <v>2</v>
      </c>
      <c r="H25" s="229">
        <v>8</v>
      </c>
      <c r="I25" s="230">
        <v>371.4</v>
      </c>
      <c r="J25" s="230">
        <v>410.8</v>
      </c>
      <c r="K25" s="230">
        <f t="shared" si="0"/>
        <v>39.400000000000034</v>
      </c>
      <c r="L25" s="32">
        <f>L46/I46*I25</f>
        <v>1053.7538328745043</v>
      </c>
      <c r="M25" s="39">
        <f t="shared" si="3"/>
        <v>2.837247799877502</v>
      </c>
      <c r="N25" s="81">
        <f t="shared" si="4"/>
        <v>0.2364373166564585</v>
      </c>
    </row>
    <row r="26" spans="1:14" ht="12.75">
      <c r="A26" s="68">
        <v>13</v>
      </c>
      <c r="B26" s="227" t="s">
        <v>257</v>
      </c>
      <c r="C26" s="228"/>
      <c r="D26" s="228"/>
      <c r="E26" s="228"/>
      <c r="F26" s="227">
        <v>2</v>
      </c>
      <c r="G26" s="227">
        <v>1</v>
      </c>
      <c r="H26" s="229">
        <v>10</v>
      </c>
      <c r="I26" s="230">
        <v>340.1</v>
      </c>
      <c r="J26" s="230">
        <v>377.8</v>
      </c>
      <c r="K26" s="230">
        <f t="shared" si="0"/>
        <v>37.69999999999999</v>
      </c>
      <c r="L26" s="32">
        <f>L46/I46*I26</f>
        <v>964.9479767383386</v>
      </c>
      <c r="M26" s="39">
        <f t="shared" si="3"/>
        <v>2.8372477998775025</v>
      </c>
      <c r="N26" s="81">
        <f t="shared" si="4"/>
        <v>0.23643731665645853</v>
      </c>
    </row>
    <row r="27" spans="1:14" ht="12.75">
      <c r="A27" s="68">
        <v>14</v>
      </c>
      <c r="B27" s="227" t="s">
        <v>258</v>
      </c>
      <c r="C27" s="228"/>
      <c r="D27" s="228"/>
      <c r="E27" s="228"/>
      <c r="F27" s="227">
        <v>2</v>
      </c>
      <c r="G27" s="227"/>
      <c r="H27" s="229">
        <v>4</v>
      </c>
      <c r="I27" s="230">
        <v>270.5</v>
      </c>
      <c r="J27" s="230">
        <v>310.8</v>
      </c>
      <c r="K27" s="230">
        <f t="shared" si="0"/>
        <v>40.30000000000001</v>
      </c>
      <c r="L27" s="32">
        <f>L46/I46*I27</f>
        <v>767.4755298668645</v>
      </c>
      <c r="M27" s="39">
        <f t="shared" si="3"/>
        <v>2.8372477998775025</v>
      </c>
      <c r="N27" s="81">
        <f t="shared" si="4"/>
        <v>0.23643731665645853</v>
      </c>
    </row>
    <row r="28" spans="1:14" ht="12.75">
      <c r="A28" s="68">
        <v>15</v>
      </c>
      <c r="B28" s="227" t="s">
        <v>259</v>
      </c>
      <c r="C28" s="228"/>
      <c r="D28" s="228"/>
      <c r="E28" s="228"/>
      <c r="F28" s="227">
        <v>2</v>
      </c>
      <c r="G28" s="227">
        <v>2</v>
      </c>
      <c r="H28" s="229">
        <v>8</v>
      </c>
      <c r="I28" s="230">
        <v>508.9</v>
      </c>
      <c r="J28" s="230">
        <v>610.1</v>
      </c>
      <c r="K28" s="230">
        <f t="shared" si="0"/>
        <v>101.20000000000005</v>
      </c>
      <c r="L28" s="32">
        <f>L46/I46*I28</f>
        <v>1443.875405357661</v>
      </c>
      <c r="M28" s="39">
        <f t="shared" si="3"/>
        <v>2.8372477998775025</v>
      </c>
      <c r="N28" s="81">
        <f t="shared" si="4"/>
        <v>0.23643731665645853</v>
      </c>
    </row>
    <row r="29" spans="1:14" ht="12.75">
      <c r="A29" s="68">
        <v>16</v>
      </c>
      <c r="B29" s="227" t="s">
        <v>260</v>
      </c>
      <c r="C29" s="228"/>
      <c r="D29" s="228"/>
      <c r="E29" s="228"/>
      <c r="F29" s="227">
        <v>1</v>
      </c>
      <c r="G29" s="227">
        <v>1</v>
      </c>
      <c r="H29" s="229">
        <v>10</v>
      </c>
      <c r="I29" s="230">
        <v>668.9</v>
      </c>
      <c r="J29" s="230">
        <v>717.7</v>
      </c>
      <c r="K29" s="230">
        <f t="shared" si="0"/>
        <v>48.80000000000007</v>
      </c>
      <c r="L29" s="32">
        <f>L46/I46*I29</f>
        <v>1897.8350533380615</v>
      </c>
      <c r="M29" s="39">
        <f t="shared" si="3"/>
        <v>2.8372477998775025</v>
      </c>
      <c r="N29" s="81">
        <f t="shared" si="4"/>
        <v>0.23643731665645853</v>
      </c>
    </row>
    <row r="30" spans="1:14" ht="12.75">
      <c r="A30" s="68">
        <v>17</v>
      </c>
      <c r="B30" s="227" t="s">
        <v>261</v>
      </c>
      <c r="C30" s="228"/>
      <c r="D30" s="228"/>
      <c r="E30" s="228"/>
      <c r="F30" s="227">
        <v>2</v>
      </c>
      <c r="G30" s="227">
        <v>0</v>
      </c>
      <c r="H30" s="229">
        <v>6</v>
      </c>
      <c r="I30" s="230">
        <v>266.1</v>
      </c>
      <c r="J30" s="230">
        <v>326.6</v>
      </c>
      <c r="K30" s="230">
        <f t="shared" si="0"/>
        <v>60.5</v>
      </c>
      <c r="L30" s="32">
        <f>L46/I46*I30</f>
        <v>754.9916395474035</v>
      </c>
      <c r="M30" s="39">
        <f t="shared" si="3"/>
        <v>2.8372477998775025</v>
      </c>
      <c r="N30" s="81">
        <f t="shared" si="4"/>
        <v>0.23643731665645853</v>
      </c>
    </row>
    <row r="31" spans="1:14" ht="12.75">
      <c r="A31" s="68">
        <v>18</v>
      </c>
      <c r="B31" s="188" t="s">
        <v>262</v>
      </c>
      <c r="C31" s="228"/>
      <c r="D31" s="228"/>
      <c r="E31" s="228"/>
      <c r="F31" s="227">
        <v>2</v>
      </c>
      <c r="G31" s="227">
        <v>1</v>
      </c>
      <c r="H31" s="229">
        <v>8</v>
      </c>
      <c r="I31" s="230">
        <v>331.1</v>
      </c>
      <c r="J31" s="230">
        <v>363.8</v>
      </c>
      <c r="K31" s="230">
        <f t="shared" si="0"/>
        <v>32.69999999999999</v>
      </c>
      <c r="L31" s="32">
        <f>L46/I46*I31</f>
        <v>939.4127465394412</v>
      </c>
      <c r="M31" s="39">
        <f t="shared" si="3"/>
        <v>2.8372477998775025</v>
      </c>
      <c r="N31" s="81">
        <f t="shared" si="4"/>
        <v>0.23643731665645853</v>
      </c>
    </row>
    <row r="32" spans="1:14" ht="12.75">
      <c r="A32" s="68">
        <v>19</v>
      </c>
      <c r="B32" s="188" t="s">
        <v>263</v>
      </c>
      <c r="C32" s="228"/>
      <c r="D32" s="228"/>
      <c r="E32" s="228"/>
      <c r="F32" s="227">
        <v>2</v>
      </c>
      <c r="G32" s="227">
        <v>1</v>
      </c>
      <c r="H32" s="229">
        <v>8</v>
      </c>
      <c r="I32" s="230">
        <v>335.1</v>
      </c>
      <c r="J32" s="230">
        <v>361.4</v>
      </c>
      <c r="K32" s="230">
        <f t="shared" si="0"/>
        <v>26.299999999999955</v>
      </c>
      <c r="L32" s="32">
        <f>L46/I46*I32</f>
        <v>950.7617377389512</v>
      </c>
      <c r="M32" s="39">
        <f t="shared" si="3"/>
        <v>2.8372477998775025</v>
      </c>
      <c r="N32" s="81">
        <f t="shared" si="4"/>
        <v>0.23643731665645853</v>
      </c>
    </row>
    <row r="33" spans="1:14" ht="12.75">
      <c r="A33" s="68">
        <v>20</v>
      </c>
      <c r="B33" s="227" t="s">
        <v>264</v>
      </c>
      <c r="C33" s="228"/>
      <c r="D33" s="228"/>
      <c r="E33" s="228"/>
      <c r="F33" s="227">
        <v>2</v>
      </c>
      <c r="G33" s="227">
        <v>1</v>
      </c>
      <c r="H33" s="229">
        <v>8</v>
      </c>
      <c r="I33" s="230">
        <v>336.9</v>
      </c>
      <c r="J33" s="230">
        <v>376.9</v>
      </c>
      <c r="K33" s="230">
        <f t="shared" si="0"/>
        <v>40</v>
      </c>
      <c r="L33" s="32">
        <f>L46/I46*I33</f>
        <v>955.8687837787305</v>
      </c>
      <c r="M33" s="39">
        <f t="shared" si="3"/>
        <v>2.8372477998775025</v>
      </c>
      <c r="N33" s="81">
        <f t="shared" si="4"/>
        <v>0.23643731665645853</v>
      </c>
    </row>
    <row r="34" spans="1:14" ht="12.75">
      <c r="A34" s="68">
        <v>21</v>
      </c>
      <c r="B34" s="227" t="s">
        <v>265</v>
      </c>
      <c r="C34" s="228"/>
      <c r="D34" s="228"/>
      <c r="E34" s="228"/>
      <c r="F34" s="227">
        <v>2</v>
      </c>
      <c r="G34" s="227">
        <v>1</v>
      </c>
      <c r="H34" s="229">
        <v>10</v>
      </c>
      <c r="I34" s="230">
        <v>328.3</v>
      </c>
      <c r="J34" s="230">
        <v>370.5</v>
      </c>
      <c r="K34" s="230">
        <f t="shared" si="0"/>
        <v>42.19999999999999</v>
      </c>
      <c r="L34" s="32">
        <f>L46/I46*I34</f>
        <v>931.4684526997842</v>
      </c>
      <c r="M34" s="39">
        <f t="shared" si="3"/>
        <v>2.8372477998775025</v>
      </c>
      <c r="N34" s="81">
        <f t="shared" si="4"/>
        <v>0.23643731665645853</v>
      </c>
    </row>
    <row r="35" spans="1:14" ht="12.75">
      <c r="A35" s="68">
        <v>22</v>
      </c>
      <c r="B35" s="227" t="s">
        <v>266</v>
      </c>
      <c r="C35" s="228"/>
      <c r="D35" s="228"/>
      <c r="E35" s="228"/>
      <c r="F35" s="227">
        <v>2</v>
      </c>
      <c r="G35" s="227">
        <v>1</v>
      </c>
      <c r="H35" s="229">
        <v>12</v>
      </c>
      <c r="I35" s="230">
        <v>328.6</v>
      </c>
      <c r="J35" s="230">
        <v>361.5</v>
      </c>
      <c r="K35" s="230">
        <f t="shared" si="0"/>
        <v>32.89999999999998</v>
      </c>
      <c r="L35" s="32">
        <f>L46/I46*I35</f>
        <v>932.3196270397474</v>
      </c>
      <c r="M35" s="39">
        <f t="shared" si="3"/>
        <v>2.8372477998775025</v>
      </c>
      <c r="N35" s="81">
        <f t="shared" si="4"/>
        <v>0.23643731665645853</v>
      </c>
    </row>
    <row r="36" spans="1:14" ht="12.75">
      <c r="A36" s="68">
        <v>23</v>
      </c>
      <c r="B36" s="227" t="s">
        <v>267</v>
      </c>
      <c r="C36" s="228"/>
      <c r="D36" s="228"/>
      <c r="E36" s="228"/>
      <c r="F36" s="227">
        <v>2</v>
      </c>
      <c r="G36" s="227"/>
      <c r="H36" s="229">
        <v>6</v>
      </c>
      <c r="I36" s="230">
        <v>234.1</v>
      </c>
      <c r="J36" s="230">
        <v>257.5</v>
      </c>
      <c r="K36" s="230">
        <f t="shared" si="0"/>
        <v>23.400000000000006</v>
      </c>
      <c r="L36" s="32">
        <f>L46/I46*I36</f>
        <v>664.1997099513234</v>
      </c>
      <c r="M36" s="39">
        <f t="shared" si="3"/>
        <v>2.8372477998775025</v>
      </c>
      <c r="N36" s="81">
        <f t="shared" si="4"/>
        <v>0.23643731665645853</v>
      </c>
    </row>
    <row r="37" spans="1:14" ht="12.75">
      <c r="A37" s="68">
        <v>24</v>
      </c>
      <c r="B37" s="34" t="s">
        <v>190</v>
      </c>
      <c r="C37" s="228"/>
      <c r="D37" s="228"/>
      <c r="E37" s="228"/>
      <c r="F37" s="227">
        <v>2</v>
      </c>
      <c r="G37" s="227">
        <v>1</v>
      </c>
      <c r="H37" s="229">
        <v>8</v>
      </c>
      <c r="I37" s="230">
        <v>329.1</v>
      </c>
      <c r="J37" s="230">
        <v>372.5</v>
      </c>
      <c r="K37" s="230">
        <f t="shared" si="0"/>
        <v>43.39999999999998</v>
      </c>
      <c r="L37" s="32">
        <f>L46/I46*I37</f>
        <v>933.7382509396862</v>
      </c>
      <c r="M37" s="39">
        <f t="shared" si="3"/>
        <v>2.8372477998775025</v>
      </c>
      <c r="N37" s="81">
        <f t="shared" si="4"/>
        <v>0.23643731665645853</v>
      </c>
    </row>
    <row r="38" spans="1:14" ht="12.75">
      <c r="A38" s="68">
        <v>25</v>
      </c>
      <c r="B38" s="227" t="s">
        <v>268</v>
      </c>
      <c r="C38" s="228"/>
      <c r="D38" s="228"/>
      <c r="E38" s="228"/>
      <c r="F38" s="227">
        <v>2</v>
      </c>
      <c r="G38" s="227">
        <v>2</v>
      </c>
      <c r="H38" s="229">
        <v>12</v>
      </c>
      <c r="I38" s="230">
        <v>516.6</v>
      </c>
      <c r="J38" s="230">
        <v>578.8</v>
      </c>
      <c r="K38" s="230">
        <f t="shared" si="0"/>
        <v>62.19999999999993</v>
      </c>
      <c r="L38" s="32">
        <f>L46/I46*I38</f>
        <v>1465.722213416718</v>
      </c>
      <c r="M38" s="39">
        <f t="shared" si="3"/>
        <v>2.8372477998775025</v>
      </c>
      <c r="N38" s="81">
        <f t="shared" si="4"/>
        <v>0.23643731665645853</v>
      </c>
    </row>
    <row r="39" spans="1:14" ht="12.75">
      <c r="A39" s="68">
        <v>26</v>
      </c>
      <c r="B39" s="227" t="s">
        <v>269</v>
      </c>
      <c r="C39" s="228"/>
      <c r="D39" s="228"/>
      <c r="E39" s="228"/>
      <c r="F39" s="227">
        <v>2</v>
      </c>
      <c r="G39" s="227">
        <v>2</v>
      </c>
      <c r="H39" s="229">
        <v>12</v>
      </c>
      <c r="I39" s="230">
        <v>498</v>
      </c>
      <c r="J39" s="230">
        <v>540.4</v>
      </c>
      <c r="K39" s="230">
        <f t="shared" si="0"/>
        <v>42.39999999999998</v>
      </c>
      <c r="L39" s="32">
        <f>L46/I46*I39</f>
        <v>1412.9494043389964</v>
      </c>
      <c r="M39" s="39">
        <f t="shared" si="3"/>
        <v>2.837247799877503</v>
      </c>
      <c r="N39" s="81">
        <f t="shared" si="4"/>
        <v>0.2364373166564586</v>
      </c>
    </row>
    <row r="40" spans="1:14" ht="12.75">
      <c r="A40" s="68">
        <v>27</v>
      </c>
      <c r="B40" s="227" t="s">
        <v>193</v>
      </c>
      <c r="C40" s="228"/>
      <c r="D40" s="228"/>
      <c r="E40" s="228"/>
      <c r="F40" s="227">
        <v>2</v>
      </c>
      <c r="G40" s="227">
        <v>2</v>
      </c>
      <c r="H40" s="229">
        <v>12</v>
      </c>
      <c r="I40" s="230">
        <v>513.4</v>
      </c>
      <c r="J40" s="230">
        <v>584.1</v>
      </c>
      <c r="K40" s="230">
        <f t="shared" si="0"/>
        <v>70.70000000000005</v>
      </c>
      <c r="L40" s="32">
        <f>L46/I46*I40</f>
        <v>1456.6430204571097</v>
      </c>
      <c r="M40" s="39">
        <f t="shared" si="3"/>
        <v>2.8372477998775025</v>
      </c>
      <c r="N40" s="81">
        <f t="shared" si="4"/>
        <v>0.23643731665645853</v>
      </c>
    </row>
    <row r="41" spans="1:14" ht="12.75">
      <c r="A41" s="68">
        <v>28</v>
      </c>
      <c r="B41" s="227" t="s">
        <v>270</v>
      </c>
      <c r="C41" s="228"/>
      <c r="D41" s="228"/>
      <c r="E41" s="228"/>
      <c r="F41" s="227">
        <v>2</v>
      </c>
      <c r="G41" s="227">
        <v>3</v>
      </c>
      <c r="H41" s="229">
        <v>12</v>
      </c>
      <c r="I41" s="230">
        <v>522.8</v>
      </c>
      <c r="J41" s="230">
        <v>578.8</v>
      </c>
      <c r="K41" s="230">
        <f t="shared" si="0"/>
        <v>56</v>
      </c>
      <c r="L41" s="32">
        <f>L46/I46*I41</f>
        <v>1483.3131497759582</v>
      </c>
      <c r="M41" s="39">
        <f t="shared" si="3"/>
        <v>2.8372477998775025</v>
      </c>
      <c r="N41" s="81">
        <f t="shared" si="4"/>
        <v>0.23643731665645853</v>
      </c>
    </row>
    <row r="42" spans="1:14" ht="12.75">
      <c r="A42" s="68">
        <v>29</v>
      </c>
      <c r="B42" s="227" t="s">
        <v>271</v>
      </c>
      <c r="C42" s="228"/>
      <c r="D42" s="228"/>
      <c r="E42" s="228"/>
      <c r="F42" s="227">
        <v>2</v>
      </c>
      <c r="G42" s="227">
        <v>1</v>
      </c>
      <c r="H42" s="229">
        <v>10</v>
      </c>
      <c r="I42" s="230">
        <v>329.9</v>
      </c>
      <c r="J42" s="230">
        <v>363.6</v>
      </c>
      <c r="K42" s="230">
        <f t="shared" si="0"/>
        <v>33.700000000000045</v>
      </c>
      <c r="L42" s="32">
        <f>L46/I46*I42</f>
        <v>936.008049179588</v>
      </c>
      <c r="M42" s="39">
        <f t="shared" si="3"/>
        <v>2.8372477998775025</v>
      </c>
      <c r="N42" s="81">
        <f t="shared" si="4"/>
        <v>0.23643731665645853</v>
      </c>
    </row>
    <row r="43" spans="1:14" ht="12.75">
      <c r="A43" s="68">
        <v>30</v>
      </c>
      <c r="B43" s="227" t="s">
        <v>272</v>
      </c>
      <c r="C43" s="228"/>
      <c r="D43" s="228"/>
      <c r="E43" s="228"/>
      <c r="F43" s="227">
        <v>2</v>
      </c>
      <c r="G43" s="227">
        <v>1</v>
      </c>
      <c r="H43" s="229">
        <v>10</v>
      </c>
      <c r="I43" s="230">
        <v>330.4</v>
      </c>
      <c r="J43" s="230">
        <v>370.1</v>
      </c>
      <c r="K43" s="230">
        <f t="shared" si="0"/>
        <v>39.700000000000045</v>
      </c>
      <c r="L43" s="32">
        <f>L46/I46*I43</f>
        <v>937.4266730795267</v>
      </c>
      <c r="M43" s="39">
        <f t="shared" si="3"/>
        <v>2.8372477998775025</v>
      </c>
      <c r="N43" s="81">
        <f t="shared" si="4"/>
        <v>0.23643731665645853</v>
      </c>
    </row>
    <row r="44" spans="1:14" ht="12.75">
      <c r="A44" s="68">
        <v>31</v>
      </c>
      <c r="B44" s="227" t="s">
        <v>273</v>
      </c>
      <c r="C44" s="228"/>
      <c r="D44" s="228"/>
      <c r="E44" s="228"/>
      <c r="F44" s="227">
        <v>2</v>
      </c>
      <c r="G44" s="227">
        <v>2</v>
      </c>
      <c r="H44" s="229">
        <v>12</v>
      </c>
      <c r="I44" s="230">
        <v>601</v>
      </c>
      <c r="J44" s="230">
        <v>661.1</v>
      </c>
      <c r="K44" s="230">
        <f t="shared" si="0"/>
        <v>60.10000000000002</v>
      </c>
      <c r="L44" s="32">
        <f>L46/I46*I44</f>
        <v>1705.185927726379</v>
      </c>
      <c r="M44" s="39">
        <f t="shared" si="3"/>
        <v>2.8372477998775025</v>
      </c>
      <c r="N44" s="81">
        <f t="shared" si="4"/>
        <v>0.23643731665645853</v>
      </c>
    </row>
    <row r="45" spans="1:14" ht="13.5" thickBot="1">
      <c r="A45" s="68">
        <v>32</v>
      </c>
      <c r="B45" s="227" t="s">
        <v>274</v>
      </c>
      <c r="C45" s="228"/>
      <c r="D45" s="228"/>
      <c r="E45" s="228"/>
      <c r="F45" s="227">
        <v>2</v>
      </c>
      <c r="G45" s="227">
        <v>2</v>
      </c>
      <c r="H45" s="229">
        <v>12</v>
      </c>
      <c r="I45" s="230">
        <v>491.1</v>
      </c>
      <c r="J45" s="230">
        <v>535.1</v>
      </c>
      <c r="K45" s="230">
        <f t="shared" si="0"/>
        <v>44</v>
      </c>
      <c r="L45" s="32">
        <f>L46/I46*I45</f>
        <v>1393.3723945198415</v>
      </c>
      <c r="M45" s="39">
        <f t="shared" si="3"/>
        <v>2.8372477998775025</v>
      </c>
      <c r="N45" s="81">
        <f t="shared" si="4"/>
        <v>0.23643731665645853</v>
      </c>
    </row>
    <row r="46" spans="1:14" ht="12.75">
      <c r="A46" s="35">
        <v>13</v>
      </c>
      <c r="B46" s="36" t="s">
        <v>123</v>
      </c>
      <c r="C46" s="36"/>
      <c r="D46" s="36"/>
      <c r="E46" s="36"/>
      <c r="F46" s="36"/>
      <c r="G46" s="36">
        <f>SUM(G14:G45)</f>
        <v>40</v>
      </c>
      <c r="H46" s="36">
        <f>SUM(H14:H45)</f>
        <v>298</v>
      </c>
      <c r="I46" s="36">
        <f>SUM(I14:I45)</f>
        <v>12408.4</v>
      </c>
      <c r="J46" s="36">
        <f>SUM(J14:J45)</f>
        <v>13939.1</v>
      </c>
      <c r="K46" s="36">
        <f>SUM(K14:K45)</f>
        <v>1530.7000000000003</v>
      </c>
      <c r="L46" s="72">
        <f>K4</f>
        <v>35205.7056</v>
      </c>
      <c r="M46" s="72"/>
      <c r="N46" s="83"/>
    </row>
  </sheetData>
  <sheetProtection password="81F5" sheet="1" formatCells="0" formatColumns="0" formatRows="0" insertColumns="0" insertRows="0" insertHyperlinks="0" deleteColumns="0" deleteRows="0" sort="0" autoFilter="0" pivotTables="0"/>
  <mergeCells count="7">
    <mergeCell ref="A1:N1"/>
    <mergeCell ref="E9:E12"/>
    <mergeCell ref="J9:J12"/>
    <mergeCell ref="K9:K12"/>
    <mergeCell ref="L9:L12"/>
    <mergeCell ref="M9:M12"/>
    <mergeCell ref="N9:N12"/>
  </mergeCells>
  <printOptions/>
  <pageMargins left="0.7874015748031497" right="0.1968503937007874" top="0.5905511811023623" bottom="0.1968503937007874" header="0.5118110236220472" footer="0.5118110236220472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view="pageBreakPreview" zoomScaleSheetLayoutView="100" zoomScalePageLayoutView="0" workbookViewId="0" topLeftCell="A1">
      <pane xSplit="2" ySplit="8" topLeftCell="C33" activePane="bottomRight" state="frozen"/>
      <selection pane="topLeft" activeCell="F37" sqref="F37"/>
      <selection pane="topRight" activeCell="F37" sqref="F37"/>
      <selection pane="bottomLeft" activeCell="F37" sqref="F37"/>
      <selection pane="bottomRight" activeCell="H38" sqref="H38"/>
    </sheetView>
  </sheetViews>
  <sheetFormatPr defaultColWidth="9.00390625" defaultRowHeight="12.75"/>
  <cols>
    <col min="1" max="1" width="5.375" style="42" customWidth="1"/>
    <col min="2" max="2" width="18.625" style="42" customWidth="1"/>
    <col min="3" max="3" width="9.125" style="42" hidden="1" customWidth="1"/>
    <col min="4" max="4" width="13.00390625" style="42" hidden="1" customWidth="1"/>
    <col min="5" max="5" width="6.125" style="42" hidden="1" customWidth="1"/>
    <col min="6" max="6" width="6.625" style="42" customWidth="1"/>
    <col min="7" max="7" width="7.00390625" style="42" customWidth="1"/>
    <col min="8" max="8" width="8.00390625" style="42" customWidth="1"/>
    <col min="9" max="11" width="8.625" style="42" customWidth="1"/>
    <col min="12" max="12" width="14.375" style="44" customWidth="1"/>
    <col min="13" max="13" width="10.25390625" style="44" customWidth="1"/>
    <col min="14" max="14" width="10.875" style="44" customWidth="1"/>
    <col min="15" max="16384" width="9.125" style="44" customWidth="1"/>
  </cols>
  <sheetData>
    <row r="1" spans="1:14" s="28" customFormat="1" ht="48.75" customHeight="1">
      <c r="A1" s="285" t="str">
        <f>'Прил 2.3 ОЦР '!A1:G1</f>
        <v>Общецеховые расходы ТСЖ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</row>
    <row r="2" spans="1:11" s="28" customFormat="1" ht="14.25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28" customFormat="1" ht="15">
      <c r="A3" s="26"/>
      <c r="B3" s="175" t="s">
        <v>174</v>
      </c>
      <c r="C3" s="175"/>
      <c r="D3" s="175"/>
      <c r="E3" s="175"/>
      <c r="F3" s="175"/>
      <c r="G3" s="175"/>
      <c r="H3" s="175">
        <f>'Прил 2.3 ОЦР '!G28</f>
        <v>1033416.5255370741</v>
      </c>
      <c r="I3" s="27"/>
      <c r="J3" s="27"/>
      <c r="K3" s="27"/>
    </row>
    <row r="4" spans="1:11" s="28" customFormat="1" ht="13.5" thickBo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4" s="28" customFormat="1" ht="29.25" customHeight="1">
      <c r="A5" s="74" t="s">
        <v>102</v>
      </c>
      <c r="B5" s="75" t="s">
        <v>103</v>
      </c>
      <c r="C5" s="76" t="s">
        <v>104</v>
      </c>
      <c r="D5" s="75" t="s">
        <v>105</v>
      </c>
      <c r="E5" s="299" t="s">
        <v>106</v>
      </c>
      <c r="F5" s="75" t="s">
        <v>107</v>
      </c>
      <c r="G5" s="76" t="s">
        <v>107</v>
      </c>
      <c r="H5" s="75" t="s">
        <v>107</v>
      </c>
      <c r="I5" s="77" t="s">
        <v>108</v>
      </c>
      <c r="J5" s="308" t="s">
        <v>156</v>
      </c>
      <c r="K5" s="308" t="s">
        <v>157</v>
      </c>
      <c r="L5" s="302" t="s">
        <v>303</v>
      </c>
      <c r="M5" s="302" t="s">
        <v>301</v>
      </c>
      <c r="N5" s="305" t="s">
        <v>304</v>
      </c>
    </row>
    <row r="6" spans="1:14" s="28" customFormat="1" ht="12.75" customHeight="1">
      <c r="A6" s="70"/>
      <c r="B6" s="30" t="s">
        <v>109</v>
      </c>
      <c r="C6" s="31" t="s">
        <v>110</v>
      </c>
      <c r="D6" s="30" t="s">
        <v>111</v>
      </c>
      <c r="E6" s="300"/>
      <c r="F6" s="30" t="s">
        <v>112</v>
      </c>
      <c r="G6" s="31" t="s">
        <v>113</v>
      </c>
      <c r="H6" s="30" t="s">
        <v>114</v>
      </c>
      <c r="I6" s="29" t="s">
        <v>115</v>
      </c>
      <c r="J6" s="309"/>
      <c r="K6" s="309"/>
      <c r="L6" s="303"/>
      <c r="M6" s="303"/>
      <c r="N6" s="306"/>
    </row>
    <row r="7" spans="1:14" s="28" customFormat="1" ht="12.75">
      <c r="A7" s="70"/>
      <c r="B7" s="30"/>
      <c r="C7" s="31"/>
      <c r="D7" s="30" t="s">
        <v>116</v>
      </c>
      <c r="E7" s="300"/>
      <c r="F7" s="30"/>
      <c r="G7" s="31" t="s">
        <v>117</v>
      </c>
      <c r="H7" s="30"/>
      <c r="I7" s="29" t="s">
        <v>118</v>
      </c>
      <c r="J7" s="309"/>
      <c r="K7" s="309"/>
      <c r="L7" s="303"/>
      <c r="M7" s="303"/>
      <c r="N7" s="306"/>
    </row>
    <row r="8" spans="1:14" s="28" customFormat="1" ht="40.5" customHeight="1" thickBot="1">
      <c r="A8" s="78"/>
      <c r="B8" s="69"/>
      <c r="C8" s="79"/>
      <c r="D8" s="69"/>
      <c r="E8" s="301"/>
      <c r="F8" s="69"/>
      <c r="G8" s="79"/>
      <c r="H8" s="69"/>
      <c r="I8" s="80" t="s">
        <v>119</v>
      </c>
      <c r="J8" s="310"/>
      <c r="K8" s="310"/>
      <c r="L8" s="304"/>
      <c r="M8" s="304"/>
      <c r="N8" s="307"/>
    </row>
    <row r="9" spans="1:14" s="33" customFormat="1" ht="12.75">
      <c r="A9" s="84">
        <v>1</v>
      </c>
      <c r="B9" s="85">
        <v>2</v>
      </c>
      <c r="C9" s="84">
        <v>3</v>
      </c>
      <c r="D9" s="85">
        <v>4</v>
      </c>
      <c r="E9" s="84">
        <v>5</v>
      </c>
      <c r="F9" s="85">
        <v>6</v>
      </c>
      <c r="G9" s="84">
        <v>7</v>
      </c>
      <c r="H9" s="85">
        <v>8</v>
      </c>
      <c r="I9" s="84">
        <v>9</v>
      </c>
      <c r="J9" s="85">
        <v>10</v>
      </c>
      <c r="K9" s="84">
        <v>11</v>
      </c>
      <c r="L9" s="85">
        <v>12</v>
      </c>
      <c r="M9" s="84">
        <v>13</v>
      </c>
      <c r="N9" s="85">
        <v>14</v>
      </c>
    </row>
    <row r="10" spans="1:14" s="33" customFormat="1" ht="12.75">
      <c r="A10" s="68">
        <v>1</v>
      </c>
      <c r="B10" s="188" t="s">
        <v>188</v>
      </c>
      <c r="C10" s="34">
        <v>1982</v>
      </c>
      <c r="D10" s="34" t="s">
        <v>121</v>
      </c>
      <c r="E10" s="34">
        <v>21.2</v>
      </c>
      <c r="F10" s="188">
        <v>2</v>
      </c>
      <c r="G10" s="188">
        <v>1</v>
      </c>
      <c r="H10" s="188">
        <v>10</v>
      </c>
      <c r="I10" s="188">
        <v>336.2</v>
      </c>
      <c r="J10" s="190">
        <v>382.8</v>
      </c>
      <c r="K10" s="34">
        <f aca="true" t="shared" si="0" ref="K10:K41">J10-I10</f>
        <v>46.60000000000002</v>
      </c>
      <c r="L10" s="32">
        <f>L42/I42*I10</f>
        <v>27999.95453769739</v>
      </c>
      <c r="M10" s="39">
        <f aca="true" t="shared" si="1" ref="M10:M15">L10/I10</f>
        <v>83.28362444288338</v>
      </c>
      <c r="N10" s="81">
        <f>M10/12</f>
        <v>6.940302036906949</v>
      </c>
    </row>
    <row r="11" spans="1:14" s="38" customFormat="1" ht="12.75">
      <c r="A11" s="68">
        <v>2</v>
      </c>
      <c r="B11" s="188" t="s">
        <v>189</v>
      </c>
      <c r="C11" s="34">
        <v>1982</v>
      </c>
      <c r="D11" s="34" t="s">
        <v>120</v>
      </c>
      <c r="E11" s="34">
        <v>44</v>
      </c>
      <c r="F11" s="188">
        <v>2</v>
      </c>
      <c r="G11" s="188">
        <v>1</v>
      </c>
      <c r="H11" s="188">
        <v>9</v>
      </c>
      <c r="I11" s="188">
        <v>334</v>
      </c>
      <c r="J11" s="190">
        <v>380.8</v>
      </c>
      <c r="K11" s="34">
        <f t="shared" si="0"/>
        <v>46.80000000000001</v>
      </c>
      <c r="L11" s="32">
        <f>L42/I42*I11</f>
        <v>27816.730563923047</v>
      </c>
      <c r="M11" s="39">
        <f t="shared" si="1"/>
        <v>83.28362444288338</v>
      </c>
      <c r="N11" s="81">
        <f aca="true" t="shared" si="2" ref="N11:N18">M11/12</f>
        <v>6.940302036906949</v>
      </c>
    </row>
    <row r="12" spans="1:14" s="38" customFormat="1" ht="12.75">
      <c r="A12" s="68">
        <v>3</v>
      </c>
      <c r="B12" s="188" t="s">
        <v>196</v>
      </c>
      <c r="C12" s="37">
        <v>1980</v>
      </c>
      <c r="D12" s="37" t="s">
        <v>122</v>
      </c>
      <c r="E12" s="37">
        <f>19.2+0.8</f>
        <v>20</v>
      </c>
      <c r="F12" s="37">
        <v>2</v>
      </c>
      <c r="G12" s="37">
        <v>1</v>
      </c>
      <c r="H12" s="37">
        <v>4</v>
      </c>
      <c r="I12" s="37">
        <v>240.4</v>
      </c>
      <c r="J12" s="34">
        <v>274</v>
      </c>
      <c r="K12" s="34">
        <f t="shared" si="0"/>
        <v>33.599999999999994</v>
      </c>
      <c r="L12" s="32">
        <f>L42/I42*I12</f>
        <v>20021.383316069165</v>
      </c>
      <c r="M12" s="39">
        <f t="shared" si="1"/>
        <v>83.28362444288338</v>
      </c>
      <c r="N12" s="81">
        <f t="shared" si="2"/>
        <v>6.940302036906949</v>
      </c>
    </row>
    <row r="13" spans="1:14" s="38" customFormat="1" ht="12.75">
      <c r="A13" s="68">
        <v>4</v>
      </c>
      <c r="B13" s="189" t="s">
        <v>194</v>
      </c>
      <c r="C13" s="34">
        <v>1999</v>
      </c>
      <c r="D13" s="34" t="s">
        <v>120</v>
      </c>
      <c r="E13" s="34">
        <v>10</v>
      </c>
      <c r="F13" s="189">
        <v>2</v>
      </c>
      <c r="G13" s="189">
        <v>1</v>
      </c>
      <c r="H13" s="189">
        <v>10</v>
      </c>
      <c r="I13" s="189">
        <v>334.6</v>
      </c>
      <c r="J13" s="188">
        <v>381.4</v>
      </c>
      <c r="K13" s="34">
        <f t="shared" si="0"/>
        <v>46.799999999999955</v>
      </c>
      <c r="L13" s="32">
        <f>L42/I42*I13</f>
        <v>27866.70073858878</v>
      </c>
      <c r="M13" s="39">
        <f t="shared" si="1"/>
        <v>83.28362444288338</v>
      </c>
      <c r="N13" s="81">
        <f t="shared" si="2"/>
        <v>6.940302036906949</v>
      </c>
    </row>
    <row r="14" spans="1:14" s="38" customFormat="1" ht="12.75">
      <c r="A14" s="68">
        <v>5</v>
      </c>
      <c r="B14" s="188" t="s">
        <v>195</v>
      </c>
      <c r="C14" s="173"/>
      <c r="D14" s="173"/>
      <c r="E14" s="173"/>
      <c r="F14" s="188">
        <v>2</v>
      </c>
      <c r="G14" s="188">
        <v>1</v>
      </c>
      <c r="H14" s="188">
        <v>10</v>
      </c>
      <c r="I14" s="188">
        <v>340.4</v>
      </c>
      <c r="J14" s="188">
        <v>388.1</v>
      </c>
      <c r="K14" s="34">
        <f t="shared" si="0"/>
        <v>47.700000000000045</v>
      </c>
      <c r="L14" s="32">
        <f>L42/I42*I14</f>
        <v>28349.745760357502</v>
      </c>
      <c r="M14" s="39">
        <f t="shared" si="1"/>
        <v>83.28362444288338</v>
      </c>
      <c r="N14" s="81">
        <f t="shared" si="2"/>
        <v>6.940302036906949</v>
      </c>
    </row>
    <row r="15" spans="1:14" s="38" customFormat="1" ht="12.75">
      <c r="A15" s="68">
        <v>6</v>
      </c>
      <c r="B15" s="188" t="s">
        <v>191</v>
      </c>
      <c r="C15" s="173">
        <v>1985</v>
      </c>
      <c r="D15" s="173" t="s">
        <v>120</v>
      </c>
      <c r="E15" s="173"/>
      <c r="F15" s="188">
        <v>2</v>
      </c>
      <c r="G15" s="188">
        <v>1</v>
      </c>
      <c r="H15" s="188">
        <v>8</v>
      </c>
      <c r="I15" s="188">
        <v>321.9</v>
      </c>
      <c r="J15" s="188">
        <v>367</v>
      </c>
      <c r="K15" s="173">
        <f t="shared" si="0"/>
        <v>45.10000000000002</v>
      </c>
      <c r="L15" s="32">
        <f>L42/I42*I15</f>
        <v>26808.99870816416</v>
      </c>
      <c r="M15" s="39">
        <f t="shared" si="1"/>
        <v>83.28362444288338</v>
      </c>
      <c r="N15" s="81">
        <f>M15/12</f>
        <v>6.940302036906949</v>
      </c>
    </row>
    <row r="16" spans="1:14" s="67" customFormat="1" ht="12.75">
      <c r="A16" s="68">
        <v>7</v>
      </c>
      <c r="B16" s="188" t="s">
        <v>192</v>
      </c>
      <c r="C16" s="34">
        <v>1983</v>
      </c>
      <c r="D16" s="34" t="s">
        <v>120</v>
      </c>
      <c r="E16" s="34">
        <v>42</v>
      </c>
      <c r="F16" s="188">
        <v>2</v>
      </c>
      <c r="G16" s="188">
        <v>1</v>
      </c>
      <c r="H16" s="188">
        <v>9</v>
      </c>
      <c r="I16" s="188">
        <v>326.6</v>
      </c>
      <c r="J16" s="188">
        <v>371.9</v>
      </c>
      <c r="K16" s="34">
        <f t="shared" si="0"/>
        <v>45.299999999999955</v>
      </c>
      <c r="L16" s="32">
        <f>L42/I42*I16</f>
        <v>27200.431743045712</v>
      </c>
      <c r="M16" s="39">
        <f>L16/I16</f>
        <v>83.28362444288338</v>
      </c>
      <c r="N16" s="81">
        <f t="shared" si="2"/>
        <v>6.940302036906949</v>
      </c>
    </row>
    <row r="17" spans="1:14" s="67" customFormat="1" ht="12.75">
      <c r="A17" s="68">
        <v>8</v>
      </c>
      <c r="B17" s="188" t="s">
        <v>186</v>
      </c>
      <c r="C17" s="34">
        <v>1981</v>
      </c>
      <c r="D17" s="34" t="s">
        <v>120</v>
      </c>
      <c r="E17" s="34">
        <v>46</v>
      </c>
      <c r="F17" s="188">
        <v>2</v>
      </c>
      <c r="G17" s="188">
        <v>2</v>
      </c>
      <c r="H17" s="188">
        <v>12</v>
      </c>
      <c r="I17" s="34">
        <v>489.7</v>
      </c>
      <c r="J17" s="190">
        <v>558.3</v>
      </c>
      <c r="K17" s="34">
        <f t="shared" si="0"/>
        <v>68.59999999999997</v>
      </c>
      <c r="L17" s="32">
        <f>L42/I42*I17</f>
        <v>40783.99088967999</v>
      </c>
      <c r="M17" s="39">
        <f>L17/I17</f>
        <v>83.28362444288338</v>
      </c>
      <c r="N17" s="81">
        <f t="shared" si="2"/>
        <v>6.940302036906949</v>
      </c>
    </row>
    <row r="18" spans="1:14" s="67" customFormat="1" ht="12.75">
      <c r="A18" s="68">
        <v>9</v>
      </c>
      <c r="B18" s="188" t="s">
        <v>187</v>
      </c>
      <c r="C18" s="34">
        <v>1981</v>
      </c>
      <c r="D18" s="34" t="s">
        <v>120</v>
      </c>
      <c r="E18" s="34">
        <v>46</v>
      </c>
      <c r="F18" s="188">
        <v>1</v>
      </c>
      <c r="G18" s="188">
        <v>1</v>
      </c>
      <c r="H18" s="188">
        <v>8</v>
      </c>
      <c r="I18" s="34">
        <v>389.2</v>
      </c>
      <c r="J18" s="190">
        <v>443.7</v>
      </c>
      <c r="K18" s="34">
        <f t="shared" si="0"/>
        <v>54.5</v>
      </c>
      <c r="L18" s="32">
        <f>L42/I42*I18</f>
        <v>32413.98663317021</v>
      </c>
      <c r="M18" s="39">
        <f>L18/I18</f>
        <v>83.28362444288338</v>
      </c>
      <c r="N18" s="81">
        <f t="shared" si="2"/>
        <v>6.940302036906949</v>
      </c>
    </row>
    <row r="19" spans="1:14" s="67" customFormat="1" ht="12.75">
      <c r="A19" s="68">
        <v>10</v>
      </c>
      <c r="B19" s="34" t="s">
        <v>190</v>
      </c>
      <c r="C19" s="34">
        <v>1984</v>
      </c>
      <c r="D19" s="34" t="s">
        <v>120</v>
      </c>
      <c r="E19" s="34">
        <v>40</v>
      </c>
      <c r="F19" s="188">
        <v>2</v>
      </c>
      <c r="G19" s="188">
        <v>1</v>
      </c>
      <c r="H19" s="188">
        <v>8</v>
      </c>
      <c r="I19" s="188">
        <v>329.7</v>
      </c>
      <c r="J19" s="34">
        <v>375.9</v>
      </c>
      <c r="K19" s="34">
        <f t="shared" si="0"/>
        <v>46.19999999999999</v>
      </c>
      <c r="L19" s="32">
        <f>L42/I42*I19</f>
        <v>27458.610978818648</v>
      </c>
      <c r="M19" s="39">
        <f>L19/I19</f>
        <v>83.28362444288338</v>
      </c>
      <c r="N19" s="81">
        <f>M19/12</f>
        <v>6.940302036906949</v>
      </c>
    </row>
    <row r="20" spans="1:14" s="73" customFormat="1" ht="12.75">
      <c r="A20" s="68">
        <v>11</v>
      </c>
      <c r="B20" s="188" t="s">
        <v>193</v>
      </c>
      <c r="C20" s="34">
        <v>1986</v>
      </c>
      <c r="D20" s="34" t="s">
        <v>120</v>
      </c>
      <c r="E20" s="34">
        <v>36</v>
      </c>
      <c r="F20" s="188">
        <v>2</v>
      </c>
      <c r="G20" s="188">
        <v>2</v>
      </c>
      <c r="H20" s="188">
        <v>12</v>
      </c>
      <c r="I20" s="34">
        <v>513.4</v>
      </c>
      <c r="J20" s="34">
        <v>585.3</v>
      </c>
      <c r="K20" s="34">
        <f t="shared" si="0"/>
        <v>71.89999999999998</v>
      </c>
      <c r="L20" s="32">
        <f>L42/I42*I20</f>
        <v>42757.81278897633</v>
      </c>
      <c r="M20" s="39">
        <f aca="true" t="shared" si="3" ref="M20:M41">L20/I20</f>
        <v>83.28362444288338</v>
      </c>
      <c r="N20" s="81">
        <f aca="true" t="shared" si="4" ref="N20:N41">M20/12</f>
        <v>6.940302036906949</v>
      </c>
    </row>
    <row r="21" spans="1:14" s="38" customFormat="1" ht="12.75">
      <c r="A21" s="68">
        <v>12</v>
      </c>
      <c r="B21" s="227" t="s">
        <v>256</v>
      </c>
      <c r="C21" s="228"/>
      <c r="D21" s="228"/>
      <c r="E21" s="228"/>
      <c r="F21" s="227">
        <v>2</v>
      </c>
      <c r="G21" s="227">
        <v>2</v>
      </c>
      <c r="H21" s="229">
        <v>8</v>
      </c>
      <c r="I21" s="230">
        <v>371.4</v>
      </c>
      <c r="J21" s="230">
        <v>410.8</v>
      </c>
      <c r="K21" s="230">
        <f t="shared" si="0"/>
        <v>39.400000000000034</v>
      </c>
      <c r="L21" s="32">
        <f>L42/I42*I21</f>
        <v>30931.538118086886</v>
      </c>
      <c r="M21" s="39">
        <f t="shared" si="3"/>
        <v>83.28362444288338</v>
      </c>
      <c r="N21" s="81">
        <f t="shared" si="4"/>
        <v>6.940302036906949</v>
      </c>
    </row>
    <row r="22" spans="1:14" ht="12.75">
      <c r="A22" s="68">
        <v>13</v>
      </c>
      <c r="B22" s="227" t="s">
        <v>257</v>
      </c>
      <c r="C22" s="228"/>
      <c r="D22" s="228"/>
      <c r="E22" s="228"/>
      <c r="F22" s="227">
        <v>2</v>
      </c>
      <c r="G22" s="227">
        <v>1</v>
      </c>
      <c r="H22" s="229">
        <v>10</v>
      </c>
      <c r="I22" s="230">
        <v>340.1</v>
      </c>
      <c r="J22" s="230">
        <v>377.8</v>
      </c>
      <c r="K22" s="230">
        <f t="shared" si="0"/>
        <v>37.69999999999999</v>
      </c>
      <c r="L22" s="32">
        <f>L42/I42*I22</f>
        <v>28324.76067302464</v>
      </c>
      <c r="M22" s="39">
        <f t="shared" si="3"/>
        <v>83.28362444288338</v>
      </c>
      <c r="N22" s="81">
        <f t="shared" si="4"/>
        <v>6.940302036906949</v>
      </c>
    </row>
    <row r="23" spans="1:14" ht="12.75">
      <c r="A23" s="68">
        <v>14</v>
      </c>
      <c r="B23" s="227" t="s">
        <v>258</v>
      </c>
      <c r="C23" s="228"/>
      <c r="D23" s="228"/>
      <c r="E23" s="228"/>
      <c r="F23" s="227">
        <v>2</v>
      </c>
      <c r="G23" s="227"/>
      <c r="H23" s="229">
        <v>4</v>
      </c>
      <c r="I23" s="230">
        <v>270.5</v>
      </c>
      <c r="J23" s="230">
        <v>310.8</v>
      </c>
      <c r="K23" s="230">
        <f t="shared" si="0"/>
        <v>40.30000000000001</v>
      </c>
      <c r="L23" s="32">
        <f>L42/I42*I23</f>
        <v>22528.220411799954</v>
      </c>
      <c r="M23" s="39">
        <f t="shared" si="3"/>
        <v>83.28362444288338</v>
      </c>
      <c r="N23" s="81">
        <f t="shared" si="4"/>
        <v>6.940302036906949</v>
      </c>
    </row>
    <row r="24" spans="1:14" ht="12.75">
      <c r="A24" s="68">
        <v>15</v>
      </c>
      <c r="B24" s="227" t="s">
        <v>259</v>
      </c>
      <c r="C24" s="228"/>
      <c r="D24" s="228"/>
      <c r="E24" s="228"/>
      <c r="F24" s="227">
        <v>2</v>
      </c>
      <c r="G24" s="227">
        <v>2</v>
      </c>
      <c r="H24" s="229">
        <v>8</v>
      </c>
      <c r="I24" s="230">
        <v>508.9</v>
      </c>
      <c r="J24" s="230">
        <v>610.1</v>
      </c>
      <c r="K24" s="230">
        <f t="shared" si="0"/>
        <v>101.20000000000005</v>
      </c>
      <c r="L24" s="32">
        <f>L42/I42*I24</f>
        <v>42383.03647898335</v>
      </c>
      <c r="M24" s="39">
        <f t="shared" si="3"/>
        <v>83.28362444288338</v>
      </c>
      <c r="N24" s="81">
        <f t="shared" si="4"/>
        <v>6.940302036906949</v>
      </c>
    </row>
    <row r="25" spans="1:14" ht="12.75">
      <c r="A25" s="68">
        <v>16</v>
      </c>
      <c r="B25" s="227" t="s">
        <v>260</v>
      </c>
      <c r="C25" s="228"/>
      <c r="D25" s="228"/>
      <c r="E25" s="228"/>
      <c r="F25" s="227">
        <v>1</v>
      </c>
      <c r="G25" s="227">
        <v>1</v>
      </c>
      <c r="H25" s="229">
        <v>10</v>
      </c>
      <c r="I25" s="230">
        <v>668.9</v>
      </c>
      <c r="J25" s="230">
        <v>717.7</v>
      </c>
      <c r="K25" s="230">
        <f t="shared" si="0"/>
        <v>48.80000000000007</v>
      </c>
      <c r="L25" s="32">
        <f>L42/I42*I25</f>
        <v>55708.41638984469</v>
      </c>
      <c r="M25" s="39">
        <f t="shared" si="3"/>
        <v>83.28362444288338</v>
      </c>
      <c r="N25" s="81">
        <f t="shared" si="4"/>
        <v>6.940302036906949</v>
      </c>
    </row>
    <row r="26" spans="1:14" s="42" customFormat="1" ht="12.75">
      <c r="A26" s="68">
        <v>17</v>
      </c>
      <c r="B26" s="227" t="s">
        <v>261</v>
      </c>
      <c r="C26" s="228"/>
      <c r="D26" s="228"/>
      <c r="E26" s="228"/>
      <c r="F26" s="227">
        <v>2</v>
      </c>
      <c r="G26" s="227">
        <v>0</v>
      </c>
      <c r="H26" s="229">
        <v>6</v>
      </c>
      <c r="I26" s="230">
        <v>266.1</v>
      </c>
      <c r="J26" s="230">
        <v>326.6</v>
      </c>
      <c r="K26" s="230">
        <f t="shared" si="0"/>
        <v>60.5</v>
      </c>
      <c r="L26" s="32">
        <f>L42/I42*I26</f>
        <v>22161.77246425127</v>
      </c>
      <c r="M26" s="39">
        <f t="shared" si="3"/>
        <v>83.28362444288338</v>
      </c>
      <c r="N26" s="81">
        <f t="shared" si="4"/>
        <v>6.940302036906949</v>
      </c>
    </row>
    <row r="27" spans="1:14" ht="12.75">
      <c r="A27" s="68">
        <v>18</v>
      </c>
      <c r="B27" s="188" t="s">
        <v>262</v>
      </c>
      <c r="C27" s="228"/>
      <c r="D27" s="228"/>
      <c r="E27" s="228"/>
      <c r="F27" s="227">
        <v>2</v>
      </c>
      <c r="G27" s="227">
        <v>1</v>
      </c>
      <c r="H27" s="229">
        <v>8</v>
      </c>
      <c r="I27" s="230">
        <v>331.1</v>
      </c>
      <c r="J27" s="230">
        <v>363.8</v>
      </c>
      <c r="K27" s="230">
        <f t="shared" si="0"/>
        <v>32.69999999999999</v>
      </c>
      <c r="L27" s="32">
        <f>L42/I42*I27</f>
        <v>27575.20805303869</v>
      </c>
      <c r="M27" s="39">
        <f t="shared" si="3"/>
        <v>83.28362444288338</v>
      </c>
      <c r="N27" s="81">
        <f t="shared" si="4"/>
        <v>6.940302036906949</v>
      </c>
    </row>
    <row r="28" spans="1:14" ht="12.75">
      <c r="A28" s="68">
        <v>19</v>
      </c>
      <c r="B28" s="188" t="s">
        <v>263</v>
      </c>
      <c r="C28" s="228"/>
      <c r="D28" s="228"/>
      <c r="E28" s="228"/>
      <c r="F28" s="227">
        <v>2</v>
      </c>
      <c r="G28" s="227">
        <v>1</v>
      </c>
      <c r="H28" s="229">
        <v>8</v>
      </c>
      <c r="I28" s="230">
        <v>335.1</v>
      </c>
      <c r="J28" s="230">
        <v>361.4</v>
      </c>
      <c r="K28" s="230">
        <f t="shared" si="0"/>
        <v>26.299999999999955</v>
      </c>
      <c r="L28" s="32">
        <f>L42/I42*I28</f>
        <v>27908.342550810223</v>
      </c>
      <c r="M28" s="39">
        <f t="shared" si="3"/>
        <v>83.28362444288338</v>
      </c>
      <c r="N28" s="81">
        <f t="shared" si="4"/>
        <v>6.940302036906949</v>
      </c>
    </row>
    <row r="29" spans="1:14" ht="12.75">
      <c r="A29" s="68">
        <v>20</v>
      </c>
      <c r="B29" s="227" t="s">
        <v>264</v>
      </c>
      <c r="C29" s="228"/>
      <c r="D29" s="228"/>
      <c r="E29" s="228"/>
      <c r="F29" s="227">
        <v>2</v>
      </c>
      <c r="G29" s="227">
        <v>1</v>
      </c>
      <c r="H29" s="229">
        <v>8</v>
      </c>
      <c r="I29" s="230">
        <v>336.9</v>
      </c>
      <c r="J29" s="230">
        <v>376.9</v>
      </c>
      <c r="K29" s="230">
        <f t="shared" si="0"/>
        <v>40</v>
      </c>
      <c r="L29" s="32">
        <f>L42/I42*I29</f>
        <v>28058.25307480741</v>
      </c>
      <c r="M29" s="39">
        <f t="shared" si="3"/>
        <v>83.28362444288338</v>
      </c>
      <c r="N29" s="81">
        <f t="shared" si="4"/>
        <v>6.940302036906949</v>
      </c>
    </row>
    <row r="30" spans="1:14" ht="12.75">
      <c r="A30" s="68">
        <v>21</v>
      </c>
      <c r="B30" s="227" t="s">
        <v>265</v>
      </c>
      <c r="C30" s="228"/>
      <c r="D30" s="228"/>
      <c r="E30" s="228"/>
      <c r="F30" s="227">
        <v>2</v>
      </c>
      <c r="G30" s="227">
        <v>1</v>
      </c>
      <c r="H30" s="229">
        <v>10</v>
      </c>
      <c r="I30" s="230">
        <v>328.3</v>
      </c>
      <c r="J30" s="230">
        <v>370.5</v>
      </c>
      <c r="K30" s="230">
        <f t="shared" si="0"/>
        <v>42.19999999999999</v>
      </c>
      <c r="L30" s="32">
        <f>L42/I42*I30</f>
        <v>27342.013904598614</v>
      </c>
      <c r="M30" s="39">
        <f t="shared" si="3"/>
        <v>83.28362444288338</v>
      </c>
      <c r="N30" s="81">
        <f t="shared" si="4"/>
        <v>6.940302036906949</v>
      </c>
    </row>
    <row r="31" spans="1:14" ht="12.75">
      <c r="A31" s="68">
        <v>22</v>
      </c>
      <c r="B31" s="227" t="s">
        <v>266</v>
      </c>
      <c r="C31" s="228"/>
      <c r="D31" s="228"/>
      <c r="E31" s="228"/>
      <c r="F31" s="227">
        <v>2</v>
      </c>
      <c r="G31" s="227">
        <v>1</v>
      </c>
      <c r="H31" s="229">
        <v>12</v>
      </c>
      <c r="I31" s="230">
        <v>328.6</v>
      </c>
      <c r="J31" s="230">
        <v>361.5</v>
      </c>
      <c r="K31" s="230">
        <f t="shared" si="0"/>
        <v>32.89999999999998</v>
      </c>
      <c r="L31" s="32">
        <f>L42/I42*I31</f>
        <v>27366.99899193148</v>
      </c>
      <c r="M31" s="39">
        <f t="shared" si="3"/>
        <v>83.28362444288338</v>
      </c>
      <c r="N31" s="81">
        <f t="shared" si="4"/>
        <v>6.940302036906949</v>
      </c>
    </row>
    <row r="32" spans="1:14" ht="12.75">
      <c r="A32" s="68">
        <v>23</v>
      </c>
      <c r="B32" s="227" t="s">
        <v>267</v>
      </c>
      <c r="C32" s="228"/>
      <c r="D32" s="228"/>
      <c r="E32" s="228"/>
      <c r="F32" s="227">
        <v>2</v>
      </c>
      <c r="G32" s="227"/>
      <c r="H32" s="229">
        <v>6</v>
      </c>
      <c r="I32" s="230">
        <v>234.1</v>
      </c>
      <c r="J32" s="230">
        <v>257.5</v>
      </c>
      <c r="K32" s="230">
        <f t="shared" si="0"/>
        <v>23.400000000000006</v>
      </c>
      <c r="L32" s="32">
        <f>L42/I42*I32</f>
        <v>19496.696482078998</v>
      </c>
      <c r="M32" s="39">
        <f t="shared" si="3"/>
        <v>83.28362444288338</v>
      </c>
      <c r="N32" s="81">
        <f t="shared" si="4"/>
        <v>6.940302036906949</v>
      </c>
    </row>
    <row r="33" spans="1:14" ht="12.75">
      <c r="A33" s="68">
        <v>24</v>
      </c>
      <c r="B33" s="34" t="s">
        <v>190</v>
      </c>
      <c r="C33" s="228"/>
      <c r="D33" s="228"/>
      <c r="E33" s="228"/>
      <c r="F33" s="227">
        <v>2</v>
      </c>
      <c r="G33" s="227">
        <v>1</v>
      </c>
      <c r="H33" s="229">
        <v>8</v>
      </c>
      <c r="I33" s="230">
        <v>329.1</v>
      </c>
      <c r="J33" s="230">
        <v>372.5</v>
      </c>
      <c r="K33" s="230">
        <f t="shared" si="0"/>
        <v>43.39999999999998</v>
      </c>
      <c r="L33" s="32">
        <f>L42/I42*I33</f>
        <v>27408.64080415292</v>
      </c>
      <c r="M33" s="39">
        <f t="shared" si="3"/>
        <v>83.28362444288338</v>
      </c>
      <c r="N33" s="81">
        <f t="shared" si="4"/>
        <v>6.940302036906949</v>
      </c>
    </row>
    <row r="34" spans="1:14" ht="12.75">
      <c r="A34" s="68">
        <v>25</v>
      </c>
      <c r="B34" s="227" t="s">
        <v>268</v>
      </c>
      <c r="C34" s="228"/>
      <c r="D34" s="228"/>
      <c r="E34" s="228"/>
      <c r="F34" s="227">
        <v>2</v>
      </c>
      <c r="G34" s="227">
        <v>2</v>
      </c>
      <c r="H34" s="229">
        <v>12</v>
      </c>
      <c r="I34" s="230">
        <v>516.6</v>
      </c>
      <c r="J34" s="230">
        <v>578.8</v>
      </c>
      <c r="K34" s="230">
        <f t="shared" si="0"/>
        <v>62.19999999999993</v>
      </c>
      <c r="L34" s="32">
        <f>L42/I42*I34</f>
        <v>43024.320387193555</v>
      </c>
      <c r="M34" s="39">
        <f t="shared" si="3"/>
        <v>83.28362444288338</v>
      </c>
      <c r="N34" s="81">
        <f t="shared" si="4"/>
        <v>6.940302036906949</v>
      </c>
    </row>
    <row r="35" spans="1:14" ht="12.75">
      <c r="A35" s="68">
        <v>26</v>
      </c>
      <c r="B35" s="227" t="s">
        <v>269</v>
      </c>
      <c r="C35" s="228"/>
      <c r="D35" s="228"/>
      <c r="E35" s="228"/>
      <c r="F35" s="227">
        <v>2</v>
      </c>
      <c r="G35" s="227">
        <v>2</v>
      </c>
      <c r="H35" s="229">
        <v>12</v>
      </c>
      <c r="I35" s="230">
        <v>498</v>
      </c>
      <c r="J35" s="230">
        <v>540.4</v>
      </c>
      <c r="K35" s="230">
        <f t="shared" si="0"/>
        <v>42.39999999999998</v>
      </c>
      <c r="L35" s="32">
        <f>L42/I42*I35</f>
        <v>41475.24497255592</v>
      </c>
      <c r="M35" s="39">
        <f t="shared" si="3"/>
        <v>83.28362444288338</v>
      </c>
      <c r="N35" s="81">
        <f t="shared" si="4"/>
        <v>6.940302036906949</v>
      </c>
    </row>
    <row r="36" spans="1:14" ht="12.75">
      <c r="A36" s="68">
        <v>27</v>
      </c>
      <c r="B36" s="227" t="s">
        <v>193</v>
      </c>
      <c r="C36" s="228"/>
      <c r="D36" s="228"/>
      <c r="E36" s="228"/>
      <c r="F36" s="227">
        <v>2</v>
      </c>
      <c r="G36" s="227">
        <v>2</v>
      </c>
      <c r="H36" s="229">
        <v>12</v>
      </c>
      <c r="I36" s="230">
        <v>513.4</v>
      </c>
      <c r="J36" s="230">
        <v>584.1</v>
      </c>
      <c r="K36" s="230">
        <f t="shared" si="0"/>
        <v>70.70000000000005</v>
      </c>
      <c r="L36" s="32">
        <f>L42/I42*I36</f>
        <v>42757.81278897633</v>
      </c>
      <c r="M36" s="39">
        <f t="shared" si="3"/>
        <v>83.28362444288338</v>
      </c>
      <c r="N36" s="81">
        <f t="shared" si="4"/>
        <v>6.940302036906949</v>
      </c>
    </row>
    <row r="37" spans="1:14" ht="12.75">
      <c r="A37" s="68">
        <v>28</v>
      </c>
      <c r="B37" s="227" t="s">
        <v>270</v>
      </c>
      <c r="C37" s="228"/>
      <c r="D37" s="228"/>
      <c r="E37" s="228"/>
      <c r="F37" s="227">
        <v>2</v>
      </c>
      <c r="G37" s="227">
        <v>3</v>
      </c>
      <c r="H37" s="229">
        <v>12</v>
      </c>
      <c r="I37" s="230">
        <v>522.8</v>
      </c>
      <c r="J37" s="230">
        <v>578.8</v>
      </c>
      <c r="K37" s="230">
        <f t="shared" si="0"/>
        <v>56</v>
      </c>
      <c r="L37" s="32">
        <f>L42/I42*I37</f>
        <v>43540.678858739426</v>
      </c>
      <c r="M37" s="39">
        <f t="shared" si="3"/>
        <v>83.28362444288338</v>
      </c>
      <c r="N37" s="81">
        <f t="shared" si="4"/>
        <v>6.940302036906949</v>
      </c>
    </row>
    <row r="38" spans="1:14" ht="12.75">
      <c r="A38" s="68">
        <v>29</v>
      </c>
      <c r="B38" s="227" t="s">
        <v>271</v>
      </c>
      <c r="C38" s="228"/>
      <c r="D38" s="228"/>
      <c r="E38" s="228"/>
      <c r="F38" s="227">
        <v>2</v>
      </c>
      <c r="G38" s="227">
        <v>1</v>
      </c>
      <c r="H38" s="229">
        <v>10</v>
      </c>
      <c r="I38" s="230">
        <v>329.9</v>
      </c>
      <c r="J38" s="230">
        <v>363.6</v>
      </c>
      <c r="K38" s="230">
        <f t="shared" si="0"/>
        <v>33.700000000000045</v>
      </c>
      <c r="L38" s="32">
        <f>L42/I42*I38</f>
        <v>27475.267703707224</v>
      </c>
      <c r="M38" s="39">
        <f t="shared" si="3"/>
        <v>83.28362444288338</v>
      </c>
      <c r="N38" s="81">
        <f t="shared" si="4"/>
        <v>6.940302036906949</v>
      </c>
    </row>
    <row r="39" spans="1:14" ht="12.75">
      <c r="A39" s="68">
        <v>30</v>
      </c>
      <c r="B39" s="227" t="s">
        <v>272</v>
      </c>
      <c r="C39" s="228"/>
      <c r="D39" s="228"/>
      <c r="E39" s="228"/>
      <c r="F39" s="227">
        <v>2</v>
      </c>
      <c r="G39" s="227">
        <v>1</v>
      </c>
      <c r="H39" s="229">
        <v>10</v>
      </c>
      <c r="I39" s="230">
        <v>330.4</v>
      </c>
      <c r="J39" s="230">
        <v>370.1</v>
      </c>
      <c r="K39" s="230">
        <f t="shared" si="0"/>
        <v>39.700000000000045</v>
      </c>
      <c r="L39" s="32">
        <f>L42/I42*I39</f>
        <v>27516.909515928666</v>
      </c>
      <c r="M39" s="39">
        <f t="shared" si="3"/>
        <v>83.28362444288338</v>
      </c>
      <c r="N39" s="81">
        <f t="shared" si="4"/>
        <v>6.940302036906949</v>
      </c>
    </row>
    <row r="40" spans="1:14" ht="12.75">
      <c r="A40" s="68">
        <v>31</v>
      </c>
      <c r="B40" s="227" t="s">
        <v>273</v>
      </c>
      <c r="C40" s="228"/>
      <c r="D40" s="228"/>
      <c r="E40" s="228"/>
      <c r="F40" s="227">
        <v>2</v>
      </c>
      <c r="G40" s="227">
        <v>2</v>
      </c>
      <c r="H40" s="229">
        <v>12</v>
      </c>
      <c r="I40" s="230">
        <v>601</v>
      </c>
      <c r="J40" s="230">
        <v>661.1</v>
      </c>
      <c r="K40" s="230">
        <f t="shared" si="0"/>
        <v>60.10000000000002</v>
      </c>
      <c r="L40" s="32">
        <f>L42/I42*I40</f>
        <v>50053.45829017291</v>
      </c>
      <c r="M40" s="39">
        <f t="shared" si="3"/>
        <v>83.28362444288338</v>
      </c>
      <c r="N40" s="81">
        <f t="shared" si="4"/>
        <v>6.940302036906949</v>
      </c>
    </row>
    <row r="41" spans="1:14" ht="13.5" thickBot="1">
      <c r="A41" s="68">
        <v>32</v>
      </c>
      <c r="B41" s="227" t="s">
        <v>274</v>
      </c>
      <c r="C41" s="228"/>
      <c r="D41" s="228"/>
      <c r="E41" s="228"/>
      <c r="F41" s="227">
        <v>2</v>
      </c>
      <c r="G41" s="227">
        <v>2</v>
      </c>
      <c r="H41" s="229">
        <v>12</v>
      </c>
      <c r="I41" s="230">
        <v>491.1</v>
      </c>
      <c r="J41" s="230">
        <v>535.1</v>
      </c>
      <c r="K41" s="230">
        <f t="shared" si="0"/>
        <v>44</v>
      </c>
      <c r="L41" s="32">
        <f>L42/I42*I41</f>
        <v>40900.58796390003</v>
      </c>
      <c r="M41" s="39">
        <f t="shared" si="3"/>
        <v>83.28362444288338</v>
      </c>
      <c r="N41" s="81">
        <f t="shared" si="4"/>
        <v>6.940302036906949</v>
      </c>
    </row>
    <row r="42" spans="1:14" ht="12.75">
      <c r="A42" s="35">
        <v>13</v>
      </c>
      <c r="B42" s="36" t="s">
        <v>123</v>
      </c>
      <c r="C42" s="36"/>
      <c r="D42" s="36"/>
      <c r="E42" s="36"/>
      <c r="F42" s="36"/>
      <c r="G42" s="36">
        <f>SUM(G10:G41)</f>
        <v>40</v>
      </c>
      <c r="H42" s="36">
        <f>SUM(H10:H41)</f>
        <v>298</v>
      </c>
      <c r="I42" s="36">
        <f>SUM(I10:I41)</f>
        <v>12408.4</v>
      </c>
      <c r="J42" s="36">
        <f>SUM(J10:J41)</f>
        <v>13939.1</v>
      </c>
      <c r="K42" s="36">
        <f>SUM(K10:K41)</f>
        <v>1530.7000000000003</v>
      </c>
      <c r="L42" s="72">
        <f>H3</f>
        <v>1033416.5255370741</v>
      </c>
      <c r="M42" s="72"/>
      <c r="N42" s="83"/>
    </row>
  </sheetData>
  <sheetProtection password="81F5" sheet="1" formatCells="0" formatColumns="0" formatRows="0" insertColumns="0" insertRows="0" insertHyperlinks="0" deleteColumns="0" deleteRows="0" sort="0" autoFilter="0" pivotTables="0"/>
  <mergeCells count="7">
    <mergeCell ref="A1:N1"/>
    <mergeCell ref="E5:E8"/>
    <mergeCell ref="J5:J8"/>
    <mergeCell ref="K5:K8"/>
    <mergeCell ref="L5:L8"/>
    <mergeCell ref="M5:M8"/>
    <mergeCell ref="N5:N8"/>
  </mergeCells>
  <printOptions/>
  <pageMargins left="0.7874015748031497" right="0.1968503937007874" top="0.5905511811023623" bottom="0.1968503937007874" header="0.5118110236220472" footer="0.5118110236220472"/>
  <pageSetup fitToHeight="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view="pageBreakPreview" zoomScaleSheetLayoutView="100" zoomScalePageLayoutView="0" workbookViewId="0" topLeftCell="A4">
      <selection activeCell="D14" sqref="D14:E14"/>
    </sheetView>
  </sheetViews>
  <sheetFormatPr defaultColWidth="9.00390625" defaultRowHeight="12.75"/>
  <cols>
    <col min="1" max="1" width="26.75390625" style="53" customWidth="1"/>
    <col min="2" max="2" width="11.75390625" style="53" customWidth="1"/>
    <col min="3" max="3" width="10.375" style="53" customWidth="1"/>
    <col min="4" max="4" width="12.625" style="53" customWidth="1"/>
    <col min="5" max="5" width="10.375" style="53" customWidth="1"/>
    <col min="6" max="6" width="13.25390625" style="53" customWidth="1"/>
    <col min="7" max="7" width="12.125" style="53" customWidth="1"/>
    <col min="8" max="16384" width="9.125" style="53" customWidth="1"/>
  </cols>
  <sheetData>
    <row r="1" spans="1:7" ht="28.5" customHeight="1">
      <c r="A1" s="345" t="s">
        <v>169</v>
      </c>
      <c r="B1" s="345"/>
      <c r="C1" s="345"/>
      <c r="D1" s="345"/>
      <c r="E1" s="345"/>
      <c r="F1" s="345"/>
      <c r="G1" s="345"/>
    </row>
    <row r="2" spans="1:7" ht="15" customHeight="1">
      <c r="A2" s="54"/>
      <c r="B2" s="54"/>
      <c r="C2" s="55"/>
      <c r="D2" s="55"/>
      <c r="E2" s="55"/>
      <c r="F2" s="55"/>
      <c r="G2" s="55"/>
    </row>
    <row r="3" spans="1:7" ht="20.25" customHeight="1">
      <c r="A3" s="346" t="s">
        <v>143</v>
      </c>
      <c r="B3" s="346"/>
      <c r="C3" s="346"/>
      <c r="D3" s="346"/>
      <c r="E3" s="346"/>
      <c r="F3" s="346"/>
      <c r="G3" s="346"/>
    </row>
    <row r="4" spans="1:7" ht="12" customHeight="1" thickBot="1">
      <c r="A4" s="56"/>
      <c r="B4" s="56"/>
      <c r="C4" s="56"/>
      <c r="D4" s="56"/>
      <c r="E4" s="56"/>
      <c r="F4" s="347" t="s">
        <v>144</v>
      </c>
      <c r="G4" s="347"/>
    </row>
    <row r="5" spans="1:7" ht="37.5" customHeight="1" thickBot="1">
      <c r="A5" s="57" t="s">
        <v>128</v>
      </c>
      <c r="B5" s="348" t="s">
        <v>309</v>
      </c>
      <c r="C5" s="349"/>
      <c r="D5" s="348" t="s">
        <v>310</v>
      </c>
      <c r="E5" s="349"/>
      <c r="F5" s="348" t="s">
        <v>308</v>
      </c>
      <c r="G5" s="350"/>
    </row>
    <row r="6" spans="1:7" ht="47.25" customHeight="1">
      <c r="A6" s="58" t="s">
        <v>315</v>
      </c>
      <c r="B6" s="340"/>
      <c r="C6" s="341"/>
      <c r="D6" s="340"/>
      <c r="E6" s="341"/>
      <c r="F6" s="342">
        <f>штат!L27+штат!L31</f>
        <v>839785.5936</v>
      </c>
      <c r="G6" s="343"/>
    </row>
    <row r="7" spans="1:7" ht="15" customHeight="1">
      <c r="A7" s="59" t="s">
        <v>130</v>
      </c>
      <c r="B7" s="331"/>
      <c r="C7" s="332"/>
      <c r="D7" s="333"/>
      <c r="E7" s="344"/>
      <c r="F7" s="333">
        <f>F6*0.349</f>
        <v>293085.1721664</v>
      </c>
      <c r="G7" s="334"/>
    </row>
    <row r="8" spans="1:7" ht="15" customHeight="1">
      <c r="A8" s="59" t="s">
        <v>145</v>
      </c>
      <c r="B8" s="331"/>
      <c r="C8" s="332"/>
      <c r="D8" s="331"/>
      <c r="E8" s="332"/>
      <c r="F8" s="333">
        <f>B8*1.086*1.116</f>
        <v>0</v>
      </c>
      <c r="G8" s="334"/>
    </row>
    <row r="9" spans="1:7" ht="30">
      <c r="A9" s="59" t="s">
        <v>131</v>
      </c>
      <c r="B9" s="331"/>
      <c r="C9" s="332"/>
      <c r="D9" s="331"/>
      <c r="E9" s="332"/>
      <c r="F9" s="338">
        <f>Лист1!N39</f>
        <v>14307.159993338104</v>
      </c>
      <c r="G9" s="339"/>
    </row>
    <row r="10" spans="1:7" ht="15" customHeight="1">
      <c r="A10" s="59" t="s">
        <v>132</v>
      </c>
      <c r="B10" s="331"/>
      <c r="C10" s="332"/>
      <c r="D10" s="331"/>
      <c r="E10" s="332"/>
      <c r="F10" s="333"/>
      <c r="G10" s="337"/>
    </row>
    <row r="11" spans="1:7" ht="15" customHeight="1">
      <c r="A11" s="59" t="s">
        <v>133</v>
      </c>
      <c r="B11" s="331"/>
      <c r="C11" s="332"/>
      <c r="D11" s="331"/>
      <c r="E11" s="332"/>
      <c r="F11" s="333"/>
      <c r="G11" s="337"/>
    </row>
    <row r="12" spans="1:7" ht="33.75" customHeight="1">
      <c r="A12" s="59" t="s">
        <v>173</v>
      </c>
      <c r="B12" s="331"/>
      <c r="C12" s="332"/>
      <c r="D12" s="331"/>
      <c r="E12" s="332"/>
      <c r="F12" s="333">
        <v>4000</v>
      </c>
      <c r="G12" s="334"/>
    </row>
    <row r="13" spans="1:7" ht="28.5" customHeight="1">
      <c r="A13" s="59" t="s">
        <v>135</v>
      </c>
      <c r="B13" s="331"/>
      <c r="C13" s="332"/>
      <c r="D13" s="331"/>
      <c r="E13" s="332"/>
      <c r="F13" s="331">
        <f>F14+F15+F16+F17+F18</f>
        <v>48000</v>
      </c>
      <c r="G13" s="332"/>
    </row>
    <row r="14" spans="1:7" ht="15" customHeight="1">
      <c r="A14" s="60" t="s">
        <v>136</v>
      </c>
      <c r="B14" s="331"/>
      <c r="C14" s="332"/>
      <c r="D14" s="331"/>
      <c r="E14" s="332"/>
      <c r="F14" s="333">
        <f>12000</f>
        <v>12000</v>
      </c>
      <c r="G14" s="334"/>
    </row>
    <row r="15" spans="1:7" ht="15" customHeight="1">
      <c r="A15" s="61" t="s">
        <v>146</v>
      </c>
      <c r="B15" s="331"/>
      <c r="C15" s="332"/>
      <c r="D15" s="331"/>
      <c r="E15" s="332"/>
      <c r="F15" s="333"/>
      <c r="G15" s="334"/>
    </row>
    <row r="16" spans="1:7" ht="15" customHeight="1">
      <c r="A16" s="61" t="s">
        <v>171</v>
      </c>
      <c r="B16" s="331"/>
      <c r="C16" s="332"/>
      <c r="D16" s="331"/>
      <c r="E16" s="332"/>
      <c r="F16" s="333"/>
      <c r="G16" s="334"/>
    </row>
    <row r="17" spans="1:7" ht="15" customHeight="1">
      <c r="A17" s="61" t="s">
        <v>137</v>
      </c>
      <c r="B17" s="331"/>
      <c r="C17" s="332"/>
      <c r="D17" s="331"/>
      <c r="E17" s="332"/>
      <c r="F17" s="333"/>
      <c r="G17" s="334"/>
    </row>
    <row r="18" spans="1:7" ht="15" customHeight="1">
      <c r="A18" s="61" t="s">
        <v>172</v>
      </c>
      <c r="B18" s="331"/>
      <c r="C18" s="332"/>
      <c r="D18" s="331"/>
      <c r="E18" s="332"/>
      <c r="F18" s="333">
        <f>3000*12</f>
        <v>36000</v>
      </c>
      <c r="G18" s="334"/>
    </row>
    <row r="19" spans="1:7" ht="48" customHeight="1">
      <c r="A19" s="65" t="s">
        <v>314</v>
      </c>
      <c r="B19" s="331"/>
      <c r="C19" s="332"/>
      <c r="D19" s="331"/>
      <c r="E19" s="332"/>
      <c r="F19" s="333">
        <f>5000*12+20*342*27+1500*12</f>
        <v>262680</v>
      </c>
      <c r="G19" s="334"/>
    </row>
    <row r="20" spans="1:7" ht="15" customHeight="1">
      <c r="A20" s="59" t="s">
        <v>138</v>
      </c>
      <c r="B20" s="331"/>
      <c r="C20" s="332"/>
      <c r="D20" s="331"/>
      <c r="E20" s="332"/>
      <c r="F20" s="333"/>
      <c r="G20" s="334"/>
    </row>
    <row r="21" spans="1:7" ht="15" customHeight="1" thickBot="1">
      <c r="A21" s="62" t="s">
        <v>139</v>
      </c>
      <c r="B21" s="331"/>
      <c r="C21" s="332"/>
      <c r="D21" s="335"/>
      <c r="E21" s="336"/>
      <c r="F21" s="333"/>
      <c r="G21" s="334"/>
    </row>
    <row r="22" spans="1:7" ht="15" customHeight="1" thickBot="1">
      <c r="A22" s="63" t="s">
        <v>16</v>
      </c>
      <c r="B22" s="327">
        <f>B6+B7+B8+B9+B10+B11+B12+B13+B19+B20+B21</f>
        <v>0</v>
      </c>
      <c r="C22" s="328"/>
      <c r="D22" s="329">
        <f>D6+D7+D8+D9+D10+D11+D12+D13+D19+D20+D21</f>
        <v>0</v>
      </c>
      <c r="E22" s="330"/>
      <c r="F22" s="329">
        <f>F6+F7+F8+F9+F10+F11+F12+F13+F19+F20+F21</f>
        <v>1461857.925759738</v>
      </c>
      <c r="G22" s="330"/>
    </row>
    <row r="23" spans="1:9" ht="96" customHeight="1">
      <c r="A23" s="320" t="s">
        <v>147</v>
      </c>
      <c r="B23" s="320"/>
      <c r="C23" s="320"/>
      <c r="D23" s="320"/>
      <c r="E23" s="320"/>
      <c r="F23" s="320"/>
      <c r="G23" s="320"/>
      <c r="I23" s="64"/>
    </row>
    <row r="24" spans="1:7" ht="24" customHeight="1">
      <c r="A24" s="321" t="s">
        <v>148</v>
      </c>
      <c r="B24" s="321"/>
      <c r="C24" s="321"/>
      <c r="D24" s="321"/>
      <c r="E24" s="321"/>
      <c r="F24" s="321"/>
      <c r="G24" s="321"/>
    </row>
    <row r="25" spans="1:7" ht="33.75" customHeight="1" thickBot="1">
      <c r="A25" s="91"/>
      <c r="B25" s="91"/>
      <c r="C25" s="91"/>
      <c r="D25" s="91"/>
      <c r="E25" s="91"/>
      <c r="F25" s="91"/>
      <c r="G25" s="92" t="s">
        <v>144</v>
      </c>
    </row>
    <row r="26" spans="1:7" ht="18" customHeight="1">
      <c r="A26" s="322" t="s">
        <v>140</v>
      </c>
      <c r="B26" s="324" t="s">
        <v>129</v>
      </c>
      <c r="C26" s="324"/>
      <c r="D26" s="324" t="s">
        <v>141</v>
      </c>
      <c r="E26" s="324"/>
      <c r="F26" s="324" t="s">
        <v>142</v>
      </c>
      <c r="G26" s="325"/>
    </row>
    <row r="27" spans="1:7" ht="36.75" customHeight="1" thickBot="1">
      <c r="A27" s="323"/>
      <c r="B27" s="93" t="s">
        <v>149</v>
      </c>
      <c r="C27" s="93" t="s">
        <v>150</v>
      </c>
      <c r="D27" s="93" t="s">
        <v>151</v>
      </c>
      <c r="E27" s="93" t="s">
        <v>150</v>
      </c>
      <c r="F27" s="93" t="s">
        <v>151</v>
      </c>
      <c r="G27" s="94" t="s">
        <v>150</v>
      </c>
    </row>
    <row r="28" spans="1:7" ht="30" customHeight="1">
      <c r="A28" s="95" t="s">
        <v>126</v>
      </c>
      <c r="B28" s="96"/>
      <c r="C28" s="96"/>
      <c r="D28" s="96"/>
      <c r="E28" s="97"/>
      <c r="F28" s="96">
        <v>1042000</v>
      </c>
      <c r="G28" s="97">
        <f>F22/F31*F28</f>
        <v>1033416.5255370741</v>
      </c>
    </row>
    <row r="29" spans="1:7" ht="26.25" customHeight="1">
      <c r="A29" s="98" t="s">
        <v>168</v>
      </c>
      <c r="B29" s="96"/>
      <c r="C29" s="96"/>
      <c r="D29" s="96"/>
      <c r="E29" s="97"/>
      <c r="F29" s="96">
        <v>432000</v>
      </c>
      <c r="G29" s="97">
        <f>F22/F31*F29</f>
        <v>428441.4002226641</v>
      </c>
    </row>
    <row r="30" spans="1:7" ht="26.25" customHeight="1" thickBot="1">
      <c r="A30" s="98" t="s">
        <v>197</v>
      </c>
      <c r="B30" s="96"/>
      <c r="C30" s="96"/>
      <c r="D30" s="96"/>
      <c r="E30" s="97"/>
      <c r="F30" s="96">
        <v>0</v>
      </c>
      <c r="G30" s="97">
        <f>F22/F31*F30</f>
        <v>0</v>
      </c>
    </row>
    <row r="31" spans="1:7" ht="15" thickBot="1">
      <c r="A31" s="99" t="s">
        <v>16</v>
      </c>
      <c r="B31" s="100">
        <f>SUM(B28:B29)</f>
        <v>0</v>
      </c>
      <c r="C31" s="100">
        <f>SUM(C28:C29)</f>
        <v>0</v>
      </c>
      <c r="D31" s="100">
        <f>SUM(D28:D29)</f>
        <v>0</v>
      </c>
      <c r="E31" s="100">
        <f>SUM(E28:E29)</f>
        <v>0</v>
      </c>
      <c r="F31" s="100">
        <f>SUM(F28:F30)</f>
        <v>1474000</v>
      </c>
      <c r="G31" s="100">
        <f>SUM(G28:G30)</f>
        <v>1461857.9257597383</v>
      </c>
    </row>
    <row r="32" spans="1:7" ht="15">
      <c r="A32" s="326" t="s">
        <v>184</v>
      </c>
      <c r="B32" s="326"/>
      <c r="C32" s="326"/>
      <c r="D32" s="326"/>
      <c r="E32" s="326"/>
      <c r="F32" s="326"/>
      <c r="G32" s="326"/>
    </row>
    <row r="33" spans="1:7" ht="15.75">
      <c r="A33" s="101"/>
      <c r="B33" s="101"/>
      <c r="C33" s="101"/>
      <c r="D33" s="102"/>
      <c r="E33" s="102"/>
      <c r="F33" s="102"/>
      <c r="G33" s="102"/>
    </row>
  </sheetData>
  <sheetProtection password="81F5" sheet="1" formatCells="0" formatColumns="0" formatRows="0" insertColumns="0" insertRows="0" insertHyperlinks="0" deleteColumns="0" deleteRows="0" sort="0" autoFilter="0" pivotTables="0"/>
  <mergeCells count="64">
    <mergeCell ref="A1:G1"/>
    <mergeCell ref="A3:G3"/>
    <mergeCell ref="F4:G4"/>
    <mergeCell ref="B5:C5"/>
    <mergeCell ref="D5:E5"/>
    <mergeCell ref="F5:G5"/>
    <mergeCell ref="B6:C6"/>
    <mergeCell ref="D6:E6"/>
    <mergeCell ref="F6:G6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A32:G32"/>
    <mergeCell ref="B22:C22"/>
    <mergeCell ref="D22:E22"/>
    <mergeCell ref="F22:G22"/>
    <mergeCell ref="B20:C20"/>
    <mergeCell ref="D20:E20"/>
    <mergeCell ref="F20:G20"/>
    <mergeCell ref="B21:C21"/>
    <mergeCell ref="D21:E21"/>
    <mergeCell ref="F21:G21"/>
    <mergeCell ref="A23:G23"/>
    <mergeCell ref="A24:G24"/>
    <mergeCell ref="A26:A27"/>
    <mergeCell ref="B26:C26"/>
    <mergeCell ref="D26:E26"/>
    <mergeCell ref="F26:G26"/>
  </mergeCells>
  <printOptions horizontalCentered="1"/>
  <pageMargins left="0.7086614173228347" right="0.31496062992125984" top="0.9448818897637796" bottom="0.7480314960629921" header="0.2755905511811024" footer="0.5118110236220472"/>
  <pageSetup fitToHeight="1" fitToWidth="1" horizontalDpi="600" verticalDpi="600" orientation="portrait" paperSize="9" scale="90" r:id="rId1"/>
  <headerFooter alignWithMargins="0">
    <oddHeader>&amp;RПриложение №3.2. "Общецеховые расходы"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O40"/>
  <sheetViews>
    <sheetView tabSelected="1" view="pageBreakPreview" zoomScale="93" zoomScaleSheetLayoutView="93" zoomScalePageLayoutView="0" workbookViewId="0" topLeftCell="A27">
      <selection activeCell="F35" sqref="F35:G35"/>
    </sheetView>
  </sheetViews>
  <sheetFormatPr defaultColWidth="9.00390625" defaultRowHeight="12.75"/>
  <cols>
    <col min="1" max="1" width="20.375" style="0" customWidth="1"/>
  </cols>
  <sheetData>
    <row r="1" spans="1:41" ht="15.75">
      <c r="A1" s="381" t="s">
        <v>199</v>
      </c>
      <c r="B1" s="381"/>
      <c r="C1" s="381"/>
      <c r="D1" s="381"/>
      <c r="E1" s="381"/>
      <c r="F1" s="381"/>
      <c r="G1" s="381"/>
      <c r="H1" s="381"/>
      <c r="I1" s="381"/>
      <c r="J1" s="381"/>
      <c r="K1" s="191"/>
      <c r="L1" s="191"/>
      <c r="M1" s="191"/>
      <c r="N1" s="191"/>
      <c r="O1" s="19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1"/>
      <c r="AI1" s="351"/>
      <c r="AJ1" s="351"/>
      <c r="AK1" s="351"/>
      <c r="AL1" s="351"/>
      <c r="AM1" s="351"/>
      <c r="AN1" s="351"/>
      <c r="AO1" s="351"/>
    </row>
    <row r="2" spans="1:41" ht="15.75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1"/>
      <c r="AJ2" s="351"/>
      <c r="AK2" s="351"/>
      <c r="AL2" s="351"/>
      <c r="AM2" s="351"/>
      <c r="AN2" s="351"/>
      <c r="AO2" s="351"/>
    </row>
    <row r="3" spans="1:41" ht="15.75">
      <c r="A3" s="375" t="s">
        <v>200</v>
      </c>
      <c r="B3" s="375"/>
      <c r="C3" s="375"/>
      <c r="D3" s="375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351"/>
      <c r="Q3" s="351"/>
      <c r="R3" s="351"/>
      <c r="S3" s="351"/>
      <c r="T3" s="351"/>
      <c r="U3" s="351"/>
      <c r="V3" s="351"/>
      <c r="W3" s="351"/>
      <c r="X3" s="351"/>
      <c r="Y3" s="351"/>
      <c r="Z3" s="351"/>
      <c r="AA3" s="351"/>
      <c r="AB3" s="351"/>
      <c r="AC3" s="351"/>
      <c r="AD3" s="351"/>
      <c r="AE3" s="351"/>
      <c r="AF3" s="351"/>
      <c r="AG3" s="351"/>
      <c r="AH3" s="351"/>
      <c r="AI3" s="351"/>
      <c r="AJ3" s="351"/>
      <c r="AK3" s="351"/>
      <c r="AL3" s="351"/>
      <c r="AM3" s="351"/>
      <c r="AN3" s="351"/>
      <c r="AO3" s="351"/>
    </row>
    <row r="4" spans="1:41" ht="16.5" thickBot="1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  <c r="AM4" s="351"/>
      <c r="AN4" s="351"/>
      <c r="AO4" s="351"/>
    </row>
    <row r="5" spans="1:41" ht="159.75" thickBot="1">
      <c r="A5" s="195" t="s">
        <v>201</v>
      </c>
      <c r="B5" s="196" t="s">
        <v>202</v>
      </c>
      <c r="C5" s="196" t="s">
        <v>203</v>
      </c>
      <c r="D5" s="196" t="s">
        <v>204</v>
      </c>
      <c r="E5" s="197" t="s">
        <v>205</v>
      </c>
      <c r="F5" s="196" t="s">
        <v>206</v>
      </c>
      <c r="G5" s="196" t="s">
        <v>207</v>
      </c>
      <c r="H5" s="198" t="s">
        <v>208</v>
      </c>
      <c r="I5" s="199" t="s">
        <v>209</v>
      </c>
      <c r="J5" s="196" t="s">
        <v>210</v>
      </c>
      <c r="K5" s="196" t="s">
        <v>211</v>
      </c>
      <c r="L5" s="196" t="s">
        <v>212</v>
      </c>
      <c r="M5" s="196" t="s">
        <v>213</v>
      </c>
      <c r="N5" s="200" t="s">
        <v>214</v>
      </c>
      <c r="O5" s="201" t="s">
        <v>215</v>
      </c>
      <c r="P5" s="380"/>
      <c r="Q5" s="351"/>
      <c r="R5" s="351"/>
      <c r="S5" s="351"/>
      <c r="T5" s="351"/>
      <c r="U5" s="351"/>
      <c r="V5" s="351"/>
      <c r="W5" s="351"/>
      <c r="X5" s="351"/>
      <c r="Y5" s="351"/>
      <c r="Z5" s="351"/>
      <c r="AA5" s="351"/>
      <c r="AB5" s="351"/>
      <c r="AC5" s="351"/>
      <c r="AD5" s="351"/>
      <c r="AE5" s="351"/>
      <c r="AF5" s="351"/>
      <c r="AG5" s="351"/>
      <c r="AH5" s="351"/>
      <c r="AI5" s="351"/>
      <c r="AJ5" s="351"/>
      <c r="AK5" s="351"/>
      <c r="AL5" s="351"/>
      <c r="AM5" s="351"/>
      <c r="AN5" s="351"/>
      <c r="AO5" s="351"/>
    </row>
    <row r="6" spans="1:41" ht="16.5" thickBot="1">
      <c r="A6" s="202">
        <v>1</v>
      </c>
      <c r="B6" s="203">
        <v>2</v>
      </c>
      <c r="C6" s="203">
        <v>3</v>
      </c>
      <c r="D6" s="203">
        <v>4</v>
      </c>
      <c r="E6" s="203">
        <v>5</v>
      </c>
      <c r="F6" s="203">
        <v>6</v>
      </c>
      <c r="G6" s="203">
        <v>7</v>
      </c>
      <c r="H6" s="203">
        <v>8</v>
      </c>
      <c r="I6" s="203">
        <v>9</v>
      </c>
      <c r="J6" s="203">
        <v>10</v>
      </c>
      <c r="K6" s="203">
        <v>11</v>
      </c>
      <c r="L6" s="203">
        <v>12</v>
      </c>
      <c r="M6" s="203">
        <v>13</v>
      </c>
      <c r="N6" s="204">
        <v>14</v>
      </c>
      <c r="O6" s="205">
        <v>15</v>
      </c>
      <c r="P6" s="380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1"/>
      <c r="AF6" s="351"/>
      <c r="AG6" s="351"/>
      <c r="AH6" s="351"/>
      <c r="AI6" s="351"/>
      <c r="AJ6" s="351"/>
      <c r="AK6" s="351"/>
      <c r="AL6" s="351"/>
      <c r="AM6" s="351"/>
      <c r="AN6" s="351"/>
      <c r="AO6" s="351"/>
    </row>
    <row r="7" spans="1:41" ht="33.75" customHeight="1" thickBot="1">
      <c r="A7" s="206" t="s">
        <v>216</v>
      </c>
      <c r="B7" s="207">
        <f>(14.7+0.5)*3.5</f>
        <v>53.199999999999996</v>
      </c>
      <c r="C7" s="207">
        <v>0.43</v>
      </c>
      <c r="D7" s="207">
        <v>0.88</v>
      </c>
      <c r="E7" s="207">
        <v>18</v>
      </c>
      <c r="F7" s="207">
        <v>-9.6</v>
      </c>
      <c r="G7" s="207">
        <v>252</v>
      </c>
      <c r="H7" s="207">
        <v>1.072</v>
      </c>
      <c r="I7" s="207">
        <v>1.05</v>
      </c>
      <c r="J7" s="223">
        <f>B7*C7*D7*(E7-F7)*G7*H7*I7*24/1000000</f>
        <v>3.7824022134226944</v>
      </c>
      <c r="K7" s="207">
        <f>J7/G7</f>
        <v>0.0150095325929472</v>
      </c>
      <c r="L7" s="207">
        <v>270</v>
      </c>
      <c r="M7" s="224">
        <f>L7*K7</f>
        <v>4.052573800095744</v>
      </c>
      <c r="N7" s="225">
        <v>1939.61</v>
      </c>
      <c r="O7" s="208">
        <f>M7*N7</f>
        <v>7860.4126684037055</v>
      </c>
      <c r="P7" s="380"/>
      <c r="Q7" s="351"/>
      <c r="R7" s="351"/>
      <c r="S7" s="351"/>
      <c r="T7" s="351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1"/>
      <c r="AF7" s="351"/>
      <c r="AG7" s="351"/>
      <c r="AH7" s="351"/>
      <c r="AI7" s="351"/>
      <c r="AJ7" s="351"/>
      <c r="AK7" s="351"/>
      <c r="AL7" s="351"/>
      <c r="AM7" s="351"/>
      <c r="AN7" s="351"/>
      <c r="AO7" s="351"/>
    </row>
    <row r="8" spans="1:41" ht="15.75">
      <c r="A8" s="191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351"/>
      <c r="Q8" s="351"/>
      <c r="R8" s="351"/>
      <c r="S8" s="351"/>
      <c r="T8" s="351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1"/>
      <c r="AF8" s="351"/>
      <c r="AG8" s="351"/>
      <c r="AH8" s="351"/>
      <c r="AI8" s="351"/>
      <c r="AJ8" s="351"/>
      <c r="AK8" s="351"/>
      <c r="AL8" s="351"/>
      <c r="AM8" s="351"/>
      <c r="AN8" s="351"/>
      <c r="AO8" s="351"/>
    </row>
    <row r="9" spans="1:41" ht="15.75">
      <c r="A9" s="375" t="s">
        <v>217</v>
      </c>
      <c r="B9" s="375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351"/>
      <c r="Q9" s="351"/>
      <c r="R9" s="351"/>
      <c r="S9" s="351"/>
      <c r="T9" s="351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1"/>
      <c r="AF9" s="351"/>
      <c r="AG9" s="351"/>
      <c r="AH9" s="351"/>
      <c r="AI9" s="351"/>
      <c r="AJ9" s="351"/>
      <c r="AK9" s="351"/>
      <c r="AL9" s="351"/>
      <c r="AM9" s="351"/>
      <c r="AN9" s="351"/>
      <c r="AO9" s="351"/>
    </row>
    <row r="10" spans="1:41" ht="16.5" thickBot="1">
      <c r="A10" s="191"/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351"/>
      <c r="Q10" s="351"/>
      <c r="R10" s="351"/>
      <c r="S10" s="351"/>
      <c r="T10" s="351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1"/>
      <c r="AF10" s="351"/>
      <c r="AG10" s="351"/>
      <c r="AH10" s="351"/>
      <c r="AI10" s="351"/>
      <c r="AJ10" s="351"/>
      <c r="AK10" s="351"/>
      <c r="AL10" s="351"/>
      <c r="AM10" s="351"/>
      <c r="AN10" s="351"/>
      <c r="AO10" s="351"/>
    </row>
    <row r="11" spans="1:41" ht="82.5" customHeight="1" thickBot="1">
      <c r="A11" s="362" t="s">
        <v>218</v>
      </c>
      <c r="B11" s="367"/>
      <c r="C11" s="196" t="s">
        <v>219</v>
      </c>
      <c r="D11" s="362" t="s">
        <v>220</v>
      </c>
      <c r="E11" s="367"/>
      <c r="F11" s="368" t="s">
        <v>221</v>
      </c>
      <c r="G11" s="363"/>
      <c r="H11" s="362" t="s">
        <v>222</v>
      </c>
      <c r="I11" s="363"/>
      <c r="J11" s="362" t="s">
        <v>223</v>
      </c>
      <c r="K11" s="363"/>
      <c r="L11" s="362" t="s">
        <v>224</v>
      </c>
      <c r="M11" s="363"/>
      <c r="N11" s="372" t="s">
        <v>225</v>
      </c>
      <c r="O11" s="365"/>
      <c r="P11" s="373"/>
      <c r="Q11" s="351"/>
      <c r="R11" s="351"/>
      <c r="S11" s="351"/>
      <c r="T11" s="351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1"/>
      <c r="AF11" s="351"/>
      <c r="AG11" s="351"/>
      <c r="AH11" s="351"/>
      <c r="AI11" s="351"/>
      <c r="AJ11" s="351"/>
      <c r="AK11" s="351"/>
      <c r="AL11" s="351"/>
      <c r="AM11" s="351"/>
      <c r="AN11" s="351"/>
      <c r="AO11" s="351"/>
    </row>
    <row r="12" spans="1:41" ht="16.5" thickBot="1">
      <c r="A12" s="362">
        <v>1</v>
      </c>
      <c r="B12" s="367"/>
      <c r="C12" s="209">
        <v>2</v>
      </c>
      <c r="D12" s="362">
        <v>3</v>
      </c>
      <c r="E12" s="367"/>
      <c r="F12" s="368">
        <v>4</v>
      </c>
      <c r="G12" s="367"/>
      <c r="H12" s="368">
        <v>5</v>
      </c>
      <c r="I12" s="367"/>
      <c r="J12" s="368">
        <v>6</v>
      </c>
      <c r="K12" s="363"/>
      <c r="L12" s="362">
        <v>7</v>
      </c>
      <c r="M12" s="363"/>
      <c r="N12" s="362">
        <v>13</v>
      </c>
      <c r="O12" s="367"/>
      <c r="P12" s="373"/>
      <c r="Q12" s="351"/>
      <c r="R12" s="351"/>
      <c r="S12" s="351"/>
      <c r="T12" s="351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1"/>
      <c r="AF12" s="351"/>
      <c r="AG12" s="351"/>
      <c r="AH12" s="351"/>
      <c r="AI12" s="351"/>
      <c r="AJ12" s="351"/>
      <c r="AK12" s="351"/>
      <c r="AL12" s="351"/>
      <c r="AM12" s="351"/>
      <c r="AN12" s="351"/>
      <c r="AO12" s="351"/>
    </row>
    <row r="13" spans="1:41" ht="27" thickBot="1">
      <c r="A13" s="362" t="s">
        <v>216</v>
      </c>
      <c r="B13" s="367"/>
      <c r="C13" s="210" t="s">
        <v>226</v>
      </c>
      <c r="D13" s="362">
        <v>10</v>
      </c>
      <c r="E13" s="367"/>
      <c r="F13" s="368">
        <v>1</v>
      </c>
      <c r="G13" s="367"/>
      <c r="H13" s="368">
        <v>248</v>
      </c>
      <c r="I13" s="367"/>
      <c r="J13" s="368">
        <f>D13*F13*H13/1000</f>
        <v>2.48</v>
      </c>
      <c r="K13" s="363"/>
      <c r="L13" s="369">
        <v>32.12</v>
      </c>
      <c r="M13" s="370"/>
      <c r="N13" s="378">
        <f>L13*J13</f>
        <v>79.65759999999999</v>
      </c>
      <c r="O13" s="379"/>
      <c r="P13" s="373"/>
      <c r="Q13" s="351"/>
      <c r="R13" s="351"/>
      <c r="S13" s="351"/>
      <c r="T13" s="351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51"/>
      <c r="AN13" s="351"/>
      <c r="AO13" s="351"/>
    </row>
    <row r="14" spans="1:41" ht="15.75">
      <c r="A14" s="191"/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  <c r="AL14" s="351"/>
      <c r="AM14" s="351"/>
      <c r="AN14" s="351"/>
      <c r="AO14" s="351"/>
    </row>
    <row r="15" spans="1:41" ht="15.75">
      <c r="A15" s="194" t="s">
        <v>227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351"/>
      <c r="Q15" s="351"/>
      <c r="R15" s="351"/>
      <c r="S15" s="351"/>
      <c r="T15" s="351"/>
      <c r="U15" s="351"/>
      <c r="V15" s="351"/>
      <c r="W15" s="351"/>
      <c r="X15" s="351"/>
      <c r="Y15" s="351"/>
      <c r="Z15" s="351"/>
      <c r="AA15" s="351"/>
      <c r="AB15" s="351"/>
      <c r="AC15" s="351"/>
      <c r="AD15" s="351"/>
      <c r="AE15" s="351"/>
      <c r="AF15" s="351"/>
      <c r="AG15" s="351"/>
      <c r="AH15" s="351"/>
      <c r="AI15" s="351"/>
      <c r="AJ15" s="351"/>
      <c r="AK15" s="351"/>
      <c r="AL15" s="351"/>
      <c r="AM15" s="351"/>
      <c r="AN15" s="351"/>
      <c r="AO15" s="351"/>
    </row>
    <row r="16" spans="1:41" ht="16.5" thickBot="1">
      <c r="A16" s="191"/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351"/>
      <c r="Q16" s="351"/>
      <c r="R16" s="351"/>
      <c r="S16" s="351"/>
      <c r="T16" s="351"/>
      <c r="U16" s="351"/>
      <c r="V16" s="351"/>
      <c r="W16" s="351"/>
      <c r="X16" s="351"/>
      <c r="Y16" s="351"/>
      <c r="Z16" s="351"/>
      <c r="AA16" s="351"/>
      <c r="AB16" s="351"/>
      <c r="AC16" s="351"/>
      <c r="AD16" s="351"/>
      <c r="AE16" s="351"/>
      <c r="AF16" s="351"/>
      <c r="AG16" s="351"/>
      <c r="AH16" s="351"/>
      <c r="AI16" s="351"/>
      <c r="AJ16" s="351"/>
      <c r="AK16" s="351"/>
      <c r="AL16" s="351"/>
      <c r="AM16" s="351"/>
      <c r="AN16" s="351"/>
      <c r="AO16" s="351"/>
    </row>
    <row r="17" spans="1:41" ht="82.5" customHeight="1" thickBot="1">
      <c r="A17" s="362" t="s">
        <v>218</v>
      </c>
      <c r="B17" s="367"/>
      <c r="C17" s="196" t="s">
        <v>219</v>
      </c>
      <c r="D17" s="362" t="s">
        <v>228</v>
      </c>
      <c r="E17" s="367"/>
      <c r="F17" s="368" t="s">
        <v>221</v>
      </c>
      <c r="G17" s="363"/>
      <c r="H17" s="362" t="s">
        <v>229</v>
      </c>
      <c r="I17" s="363"/>
      <c r="J17" s="362" t="s">
        <v>230</v>
      </c>
      <c r="K17" s="363"/>
      <c r="L17" s="362" t="s">
        <v>231</v>
      </c>
      <c r="M17" s="363"/>
      <c r="N17" s="372" t="s">
        <v>232</v>
      </c>
      <c r="O17" s="365"/>
      <c r="P17" s="373"/>
      <c r="Q17" s="351"/>
      <c r="R17" s="351"/>
      <c r="S17" s="351"/>
      <c r="T17" s="351"/>
      <c r="U17" s="351"/>
      <c r="V17" s="351"/>
      <c r="W17" s="351"/>
      <c r="X17" s="351"/>
      <c r="Y17" s="351"/>
      <c r="Z17" s="351"/>
      <c r="AA17" s="351"/>
      <c r="AB17" s="351"/>
      <c r="AC17" s="351"/>
      <c r="AD17" s="351"/>
      <c r="AE17" s="351"/>
      <c r="AF17" s="351"/>
      <c r="AG17" s="351"/>
      <c r="AH17" s="351"/>
      <c r="AI17" s="351"/>
      <c r="AJ17" s="351"/>
      <c r="AK17" s="351"/>
      <c r="AL17" s="351"/>
      <c r="AM17" s="351"/>
      <c r="AN17" s="351"/>
      <c r="AO17" s="351"/>
    </row>
    <row r="18" spans="1:41" ht="16.5" thickBot="1">
      <c r="A18" s="362">
        <v>1</v>
      </c>
      <c r="B18" s="367"/>
      <c r="C18" s="209">
        <v>2</v>
      </c>
      <c r="D18" s="362">
        <v>3</v>
      </c>
      <c r="E18" s="367"/>
      <c r="F18" s="368">
        <v>4</v>
      </c>
      <c r="G18" s="367"/>
      <c r="H18" s="368">
        <v>5</v>
      </c>
      <c r="I18" s="367"/>
      <c r="J18" s="368">
        <v>6</v>
      </c>
      <c r="K18" s="363"/>
      <c r="L18" s="362">
        <v>7</v>
      </c>
      <c r="M18" s="363"/>
      <c r="N18" s="362">
        <v>8</v>
      </c>
      <c r="O18" s="367"/>
      <c r="P18" s="373"/>
      <c r="Q18" s="351"/>
      <c r="R18" s="351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</row>
    <row r="19" spans="1:41" ht="27" thickBot="1">
      <c r="A19" s="362" t="s">
        <v>216</v>
      </c>
      <c r="B19" s="367"/>
      <c r="C19" s="210" t="s">
        <v>226</v>
      </c>
      <c r="D19" s="362">
        <v>9</v>
      </c>
      <c r="E19" s="367"/>
      <c r="F19" s="368">
        <v>1</v>
      </c>
      <c r="G19" s="367"/>
      <c r="H19" s="368">
        <v>248</v>
      </c>
      <c r="I19" s="367"/>
      <c r="J19" s="368">
        <f>D19*F19*H19/1000</f>
        <v>2.232</v>
      </c>
      <c r="K19" s="363"/>
      <c r="L19" s="369">
        <v>63.4</v>
      </c>
      <c r="M19" s="370"/>
      <c r="N19" s="364">
        <f>L19*J19</f>
        <v>141.5088</v>
      </c>
      <c r="O19" s="366"/>
      <c r="P19" s="373"/>
      <c r="Q19" s="351"/>
      <c r="R19" s="351"/>
      <c r="S19" s="351"/>
      <c r="T19" s="351"/>
      <c r="U19" s="351"/>
      <c r="V19" s="351"/>
      <c r="W19" s="351"/>
      <c r="X19" s="351"/>
      <c r="Y19" s="351"/>
      <c r="Z19" s="351"/>
      <c r="AA19" s="351"/>
      <c r="AB19" s="351"/>
      <c r="AC19" s="351"/>
      <c r="AD19" s="351"/>
      <c r="AE19" s="351"/>
      <c r="AF19" s="351"/>
      <c r="AG19" s="351"/>
      <c r="AH19" s="351"/>
      <c r="AI19" s="351"/>
      <c r="AJ19" s="351"/>
      <c r="AK19" s="351"/>
      <c r="AL19" s="351"/>
      <c r="AM19" s="351"/>
      <c r="AN19" s="351"/>
      <c r="AO19" s="351"/>
    </row>
    <row r="20" spans="1:41" ht="15.75">
      <c r="A20" s="191"/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351"/>
      <c r="Q20" s="351"/>
      <c r="R20" s="351"/>
      <c r="S20" s="351"/>
      <c r="T20" s="351"/>
      <c r="U20" s="351"/>
      <c r="V20" s="351"/>
      <c r="W20" s="351"/>
      <c r="X20" s="351"/>
      <c r="Y20" s="351"/>
      <c r="Z20" s="351"/>
      <c r="AA20" s="351"/>
      <c r="AB20" s="351"/>
      <c r="AC20" s="351"/>
      <c r="AD20" s="351"/>
      <c r="AE20" s="351"/>
      <c r="AF20" s="351"/>
      <c r="AG20" s="351"/>
      <c r="AH20" s="351"/>
      <c r="AI20" s="351"/>
      <c r="AJ20" s="351"/>
      <c r="AK20" s="351"/>
      <c r="AL20" s="351"/>
      <c r="AM20" s="351"/>
      <c r="AN20" s="351"/>
      <c r="AO20" s="351"/>
    </row>
    <row r="21" spans="1:41" ht="15.75">
      <c r="A21" s="375" t="s">
        <v>233</v>
      </c>
      <c r="B21" s="375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374"/>
      <c r="Q21" s="374"/>
      <c r="R21" s="374"/>
      <c r="S21" s="351"/>
      <c r="T21" s="351"/>
      <c r="U21" s="351"/>
      <c r="V21" s="351"/>
      <c r="W21" s="351"/>
      <c r="X21" s="351"/>
      <c r="Y21" s="351"/>
      <c r="Z21" s="351"/>
      <c r="AA21" s="351"/>
      <c r="AB21" s="351"/>
      <c r="AC21" s="351"/>
      <c r="AD21" s="351"/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</row>
    <row r="22" spans="1:41" ht="16.5" thickBot="1">
      <c r="A22" s="191"/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351"/>
      <c r="Q22" s="351"/>
      <c r="R22" s="351"/>
      <c r="S22" s="351"/>
      <c r="T22" s="351"/>
      <c r="U22" s="351"/>
      <c r="V22" s="351"/>
      <c r="W22" s="351"/>
      <c r="X22" s="351"/>
      <c r="Y22" s="351"/>
      <c r="Z22" s="351"/>
      <c r="AA22" s="351"/>
      <c r="AB22" s="351"/>
      <c r="AC22" s="351"/>
      <c r="AD22" s="351"/>
      <c r="AE22" s="351"/>
      <c r="AF22" s="351"/>
      <c r="AG22" s="351"/>
      <c r="AH22" s="351"/>
      <c r="AI22" s="351"/>
      <c r="AJ22" s="351"/>
      <c r="AK22" s="351"/>
      <c r="AL22" s="351"/>
      <c r="AM22" s="351"/>
      <c r="AN22" s="351"/>
      <c r="AO22" s="351"/>
    </row>
    <row r="23" spans="1:41" ht="81" customHeight="1" thickBot="1">
      <c r="A23" s="362" t="s">
        <v>218</v>
      </c>
      <c r="B23" s="367"/>
      <c r="C23" s="196" t="s">
        <v>234</v>
      </c>
      <c r="D23" s="362" t="s">
        <v>235</v>
      </c>
      <c r="E23" s="367"/>
      <c r="F23" s="368" t="s">
        <v>221</v>
      </c>
      <c r="G23" s="363"/>
      <c r="H23" s="362" t="s">
        <v>229</v>
      </c>
      <c r="I23" s="363"/>
      <c r="J23" s="362" t="s">
        <v>236</v>
      </c>
      <c r="K23" s="363"/>
      <c r="L23" s="362" t="s">
        <v>237</v>
      </c>
      <c r="M23" s="363"/>
      <c r="N23" s="372" t="s">
        <v>238</v>
      </c>
      <c r="O23" s="365"/>
      <c r="P23" s="361"/>
      <c r="Q23" s="352"/>
      <c r="R23" s="352"/>
      <c r="S23" s="352"/>
      <c r="T23" s="352"/>
      <c r="U23" s="352"/>
      <c r="V23" s="352"/>
      <c r="W23" s="352"/>
      <c r="X23" s="352"/>
      <c r="Y23" s="352"/>
      <c r="Z23" s="352"/>
      <c r="AA23" s="352"/>
      <c r="AB23" s="352"/>
      <c r="AC23" s="352"/>
      <c r="AD23" s="352"/>
      <c r="AE23" s="352"/>
      <c r="AF23" s="352"/>
      <c r="AG23" s="352"/>
      <c r="AH23" s="352"/>
      <c r="AI23" s="352"/>
      <c r="AJ23" s="352"/>
      <c r="AK23" s="374"/>
      <c r="AL23" s="374"/>
      <c r="AM23" s="374"/>
      <c r="AN23" s="374"/>
      <c r="AO23" s="193"/>
    </row>
    <row r="24" spans="1:41" ht="16.5" thickBot="1">
      <c r="A24" s="362">
        <v>1</v>
      </c>
      <c r="B24" s="367"/>
      <c r="C24" s="209">
        <v>2</v>
      </c>
      <c r="D24" s="362">
        <v>3</v>
      </c>
      <c r="E24" s="367"/>
      <c r="F24" s="368">
        <v>4</v>
      </c>
      <c r="G24" s="367"/>
      <c r="H24" s="368">
        <v>5</v>
      </c>
      <c r="I24" s="367"/>
      <c r="J24" s="368">
        <v>6</v>
      </c>
      <c r="K24" s="363"/>
      <c r="L24" s="362">
        <v>7</v>
      </c>
      <c r="M24" s="363"/>
      <c r="N24" s="362">
        <v>8</v>
      </c>
      <c r="O24" s="367"/>
      <c r="P24" s="361"/>
      <c r="Q24" s="352"/>
      <c r="R24" s="352"/>
      <c r="S24" s="352"/>
      <c r="T24" s="352"/>
      <c r="U24" s="352"/>
      <c r="V24" s="352"/>
      <c r="W24" s="352"/>
      <c r="X24" s="352"/>
      <c r="Y24" s="352"/>
      <c r="Z24" s="352"/>
      <c r="AA24" s="352"/>
      <c r="AB24" s="352"/>
      <c r="AC24" s="352"/>
      <c r="AD24" s="352"/>
      <c r="AE24" s="352"/>
      <c r="AF24" s="352"/>
      <c r="AG24" s="352"/>
      <c r="AH24" s="352"/>
      <c r="AI24" s="352"/>
      <c r="AJ24" s="352"/>
      <c r="AK24" s="374"/>
      <c r="AL24" s="374"/>
      <c r="AM24" s="374"/>
      <c r="AN24" s="374"/>
      <c r="AO24" s="193"/>
    </row>
    <row r="25" spans="1:41" ht="27" thickBot="1">
      <c r="A25" s="362" t="s">
        <v>216</v>
      </c>
      <c r="B25" s="367"/>
      <c r="C25" s="210" t="s">
        <v>226</v>
      </c>
      <c r="D25" s="362">
        <v>0.012</v>
      </c>
      <c r="E25" s="367"/>
      <c r="F25" s="368">
        <v>1</v>
      </c>
      <c r="G25" s="367"/>
      <c r="H25" s="368">
        <v>248</v>
      </c>
      <c r="I25" s="367"/>
      <c r="J25" s="376">
        <f>D25*F25*12</f>
        <v>0.14400000000000002</v>
      </c>
      <c r="K25" s="377"/>
      <c r="L25" s="369">
        <f>162.44*1.18</f>
        <v>191.67919999999998</v>
      </c>
      <c r="M25" s="370"/>
      <c r="N25" s="364">
        <f>L25*J25</f>
        <v>27.6018048</v>
      </c>
      <c r="O25" s="366"/>
      <c r="P25" s="361"/>
      <c r="Q25" s="352"/>
      <c r="R25" s="352"/>
      <c r="S25" s="352"/>
      <c r="T25" s="352"/>
      <c r="U25" s="352"/>
      <c r="V25" s="352"/>
      <c r="W25" s="352"/>
      <c r="X25" s="352"/>
      <c r="Y25" s="352"/>
      <c r="Z25" s="352"/>
      <c r="AA25" s="352"/>
      <c r="AB25" s="352"/>
      <c r="AC25" s="352"/>
      <c r="AD25" s="352"/>
      <c r="AE25" s="352"/>
      <c r="AF25" s="352"/>
      <c r="AG25" s="352"/>
      <c r="AH25" s="352"/>
      <c r="AI25" s="352"/>
      <c r="AJ25" s="352"/>
      <c r="AK25" s="374"/>
      <c r="AL25" s="374"/>
      <c r="AM25" s="374"/>
      <c r="AN25" s="374"/>
      <c r="AO25" s="193"/>
    </row>
    <row r="26" spans="1:41" ht="15.75">
      <c r="A26" s="191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351"/>
      <c r="Q26" s="351"/>
      <c r="R26" s="351"/>
      <c r="S26" s="351"/>
      <c r="T26" s="351"/>
      <c r="U26" s="351"/>
      <c r="V26" s="351"/>
      <c r="W26" s="351"/>
      <c r="X26" s="351"/>
      <c r="Y26" s="351"/>
      <c r="Z26" s="351"/>
      <c r="AA26" s="351"/>
      <c r="AB26" s="351"/>
      <c r="AC26" s="351"/>
      <c r="AD26" s="351"/>
      <c r="AE26" s="351"/>
      <c r="AF26" s="351"/>
      <c r="AG26" s="351"/>
      <c r="AH26" s="351"/>
      <c r="AI26" s="351"/>
      <c r="AJ26" s="351"/>
      <c r="AK26" s="351"/>
      <c r="AL26" s="351"/>
      <c r="AM26" s="351"/>
      <c r="AN26" s="351"/>
      <c r="AO26" s="351"/>
    </row>
    <row r="27" spans="1:41" ht="16.5" thickBot="1">
      <c r="A27" s="375" t="s">
        <v>239</v>
      </c>
      <c r="B27" s="375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374"/>
      <c r="Q27" s="374"/>
      <c r="R27" s="374"/>
      <c r="S27" s="351"/>
      <c r="T27" s="351"/>
      <c r="U27" s="351"/>
      <c r="V27" s="351"/>
      <c r="W27" s="351"/>
      <c r="X27" s="351"/>
      <c r="Y27" s="351"/>
      <c r="Z27" s="351"/>
      <c r="AA27" s="351"/>
      <c r="AB27" s="351"/>
      <c r="AC27" s="351"/>
      <c r="AD27" s="351"/>
      <c r="AE27" s="351"/>
      <c r="AF27" s="351"/>
      <c r="AG27" s="351"/>
      <c r="AH27" s="351"/>
      <c r="AI27" s="351"/>
      <c r="AJ27" s="351"/>
      <c r="AK27" s="351"/>
      <c r="AL27" s="351"/>
      <c r="AM27" s="351"/>
      <c r="AN27" s="351"/>
      <c r="AO27" s="351"/>
    </row>
    <row r="28" spans="1:41" ht="69.75" customHeight="1" thickBot="1">
      <c r="A28" s="362" t="s">
        <v>218</v>
      </c>
      <c r="B28" s="367"/>
      <c r="C28" s="196" t="s">
        <v>234</v>
      </c>
      <c r="D28" s="362" t="s">
        <v>235</v>
      </c>
      <c r="E28" s="367"/>
      <c r="F28" s="368" t="s">
        <v>221</v>
      </c>
      <c r="G28" s="363"/>
      <c r="H28" s="362" t="s">
        <v>229</v>
      </c>
      <c r="I28" s="363"/>
      <c r="J28" s="362" t="s">
        <v>236</v>
      </c>
      <c r="K28" s="363"/>
      <c r="L28" s="362" t="s">
        <v>240</v>
      </c>
      <c r="M28" s="363"/>
      <c r="N28" s="372" t="s">
        <v>241</v>
      </c>
      <c r="O28" s="365"/>
      <c r="P28" s="361"/>
      <c r="Q28" s="352"/>
      <c r="R28" s="352"/>
      <c r="S28" s="352"/>
      <c r="T28" s="352"/>
      <c r="U28" s="352"/>
      <c r="V28" s="352"/>
      <c r="W28" s="352"/>
      <c r="X28" s="352"/>
      <c r="Y28" s="352"/>
      <c r="Z28" s="352"/>
      <c r="AA28" s="352"/>
      <c r="AB28" s="352"/>
      <c r="AC28" s="352"/>
      <c r="AD28" s="352"/>
      <c r="AE28" s="352"/>
      <c r="AF28" s="352"/>
      <c r="AG28" s="352"/>
      <c r="AH28" s="352"/>
      <c r="AI28" s="352"/>
      <c r="AJ28" s="352"/>
      <c r="AK28" s="374"/>
      <c r="AL28" s="374"/>
      <c r="AM28" s="374"/>
      <c r="AN28" s="374"/>
      <c r="AO28" s="193"/>
    </row>
    <row r="29" spans="1:41" ht="16.5" thickBot="1">
      <c r="A29" s="362">
        <v>1</v>
      </c>
      <c r="B29" s="367"/>
      <c r="C29" s="209">
        <v>2</v>
      </c>
      <c r="D29" s="362">
        <v>3</v>
      </c>
      <c r="E29" s="367"/>
      <c r="F29" s="368">
        <v>4</v>
      </c>
      <c r="G29" s="367"/>
      <c r="H29" s="368">
        <v>5</v>
      </c>
      <c r="I29" s="367"/>
      <c r="J29" s="368">
        <v>6</v>
      </c>
      <c r="K29" s="363"/>
      <c r="L29" s="362">
        <v>7</v>
      </c>
      <c r="M29" s="363"/>
      <c r="N29" s="362">
        <v>8</v>
      </c>
      <c r="O29" s="367"/>
      <c r="P29" s="361"/>
      <c r="Q29" s="352"/>
      <c r="R29" s="352"/>
      <c r="S29" s="352"/>
      <c r="T29" s="352"/>
      <c r="U29" s="352"/>
      <c r="V29" s="352"/>
      <c r="W29" s="352"/>
      <c r="X29" s="352"/>
      <c r="Y29" s="352"/>
      <c r="Z29" s="352"/>
      <c r="AA29" s="352"/>
      <c r="AB29" s="352"/>
      <c r="AC29" s="352"/>
      <c r="AD29" s="352"/>
      <c r="AE29" s="352"/>
      <c r="AF29" s="352"/>
      <c r="AG29" s="352"/>
      <c r="AH29" s="352"/>
      <c r="AI29" s="352"/>
      <c r="AJ29" s="352"/>
      <c r="AK29" s="374"/>
      <c r="AL29" s="374"/>
      <c r="AM29" s="374"/>
      <c r="AN29" s="374"/>
      <c r="AO29" s="193"/>
    </row>
    <row r="30" spans="1:41" ht="27" thickBot="1">
      <c r="A30" s="362" t="s">
        <v>216</v>
      </c>
      <c r="B30" s="367"/>
      <c r="C30" s="210" t="s">
        <v>226</v>
      </c>
      <c r="D30" s="362">
        <v>0.012</v>
      </c>
      <c r="E30" s="367"/>
      <c r="F30" s="368">
        <v>1</v>
      </c>
      <c r="G30" s="367"/>
      <c r="H30" s="368">
        <v>248</v>
      </c>
      <c r="I30" s="367"/>
      <c r="J30" s="376">
        <f>D30*F30*12</f>
        <v>0.14400000000000002</v>
      </c>
      <c r="K30" s="377"/>
      <c r="L30" s="369">
        <f>377.94*1.18</f>
        <v>445.9692</v>
      </c>
      <c r="M30" s="370"/>
      <c r="N30" s="364">
        <f>L30*J30</f>
        <v>64.2195648</v>
      </c>
      <c r="O30" s="366"/>
      <c r="P30" s="361"/>
      <c r="Q30" s="352"/>
      <c r="R30" s="352"/>
      <c r="S30" s="352"/>
      <c r="T30" s="352"/>
      <c r="U30" s="352"/>
      <c r="V30" s="352"/>
      <c r="W30" s="352"/>
      <c r="X30" s="352"/>
      <c r="Y30" s="352"/>
      <c r="Z30" s="352"/>
      <c r="AA30" s="352"/>
      <c r="AB30" s="352"/>
      <c r="AC30" s="352"/>
      <c r="AD30" s="352"/>
      <c r="AE30" s="352"/>
      <c r="AF30" s="352"/>
      <c r="AG30" s="352"/>
      <c r="AH30" s="352"/>
      <c r="AI30" s="352"/>
      <c r="AJ30" s="352"/>
      <c r="AK30" s="374"/>
      <c r="AL30" s="374"/>
      <c r="AM30" s="374"/>
      <c r="AN30" s="374"/>
      <c r="AO30" s="193"/>
    </row>
    <row r="31" spans="1:41" ht="15.75">
      <c r="A31" s="191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351"/>
      <c r="Q31" s="351"/>
      <c r="R31" s="351"/>
      <c r="S31" s="351"/>
      <c r="T31" s="351"/>
      <c r="U31" s="351"/>
      <c r="V31" s="351"/>
      <c r="W31" s="351"/>
      <c r="X31" s="351"/>
      <c r="Y31" s="351"/>
      <c r="Z31" s="351"/>
      <c r="AA31" s="351"/>
      <c r="AB31" s="351"/>
      <c r="AC31" s="351"/>
      <c r="AD31" s="351"/>
      <c r="AE31" s="351"/>
      <c r="AF31" s="351"/>
      <c r="AG31" s="351"/>
      <c r="AH31" s="351"/>
      <c r="AI31" s="351"/>
      <c r="AJ31" s="351"/>
      <c r="AK31" s="351"/>
      <c r="AL31" s="351"/>
      <c r="AM31" s="351"/>
      <c r="AN31" s="351"/>
      <c r="AO31" s="351"/>
    </row>
    <row r="32" spans="1:41" ht="16.5" thickBot="1">
      <c r="A32" s="375" t="s">
        <v>242</v>
      </c>
      <c r="B32" s="375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374"/>
      <c r="Q32" s="374"/>
      <c r="R32" s="374"/>
      <c r="S32" s="351"/>
      <c r="T32" s="351"/>
      <c r="U32" s="351"/>
      <c r="V32" s="351"/>
      <c r="W32" s="351"/>
      <c r="X32" s="351"/>
      <c r="Y32" s="351"/>
      <c r="Z32" s="351"/>
      <c r="AA32" s="351"/>
      <c r="AB32" s="351"/>
      <c r="AC32" s="351"/>
      <c r="AD32" s="351"/>
      <c r="AE32" s="351"/>
      <c r="AF32" s="351"/>
      <c r="AG32" s="351"/>
      <c r="AH32" s="351"/>
      <c r="AI32" s="351"/>
      <c r="AJ32" s="351"/>
      <c r="AK32" s="351"/>
      <c r="AL32" s="351"/>
      <c r="AM32" s="351"/>
      <c r="AN32" s="351"/>
      <c r="AO32" s="351"/>
    </row>
    <row r="33" spans="1:41" ht="63.75" customHeight="1" thickBot="1">
      <c r="A33" s="362" t="s">
        <v>243</v>
      </c>
      <c r="B33" s="367"/>
      <c r="C33" s="211" t="s">
        <v>107</v>
      </c>
      <c r="D33" s="362" t="s">
        <v>244</v>
      </c>
      <c r="E33" s="367"/>
      <c r="F33" s="368" t="s">
        <v>245</v>
      </c>
      <c r="G33" s="363"/>
      <c r="H33" s="362" t="s">
        <v>229</v>
      </c>
      <c r="I33" s="363"/>
      <c r="J33" s="362" t="s">
        <v>246</v>
      </c>
      <c r="K33" s="363"/>
      <c r="L33" s="362" t="s">
        <v>247</v>
      </c>
      <c r="M33" s="363"/>
      <c r="N33" s="372" t="s">
        <v>248</v>
      </c>
      <c r="O33" s="365"/>
      <c r="P33" s="373"/>
      <c r="Q33" s="351"/>
      <c r="R33" s="351"/>
      <c r="S33" s="351"/>
      <c r="T33" s="351"/>
      <c r="U33" s="351"/>
      <c r="V33" s="351"/>
      <c r="W33" s="351"/>
      <c r="X33" s="351"/>
      <c r="Y33" s="351"/>
      <c r="Z33" s="351"/>
      <c r="AA33" s="351"/>
      <c r="AB33" s="351"/>
      <c r="AC33" s="351"/>
      <c r="AD33" s="351"/>
      <c r="AE33" s="351"/>
      <c r="AF33" s="351"/>
      <c r="AG33" s="351"/>
      <c r="AH33" s="351"/>
      <c r="AI33" s="351"/>
      <c r="AJ33" s="351"/>
      <c r="AK33" s="351"/>
      <c r="AL33" s="351"/>
      <c r="AM33" s="351"/>
      <c r="AN33" s="351"/>
      <c r="AO33" s="351"/>
    </row>
    <row r="34" spans="1:41" ht="16.5" thickBot="1">
      <c r="A34" s="362">
        <v>1</v>
      </c>
      <c r="B34" s="367"/>
      <c r="C34" s="209">
        <v>2</v>
      </c>
      <c r="D34" s="362">
        <v>3</v>
      </c>
      <c r="E34" s="367"/>
      <c r="F34" s="368">
        <v>4</v>
      </c>
      <c r="G34" s="367"/>
      <c r="H34" s="368">
        <v>5</v>
      </c>
      <c r="I34" s="367"/>
      <c r="J34" s="368">
        <v>6</v>
      </c>
      <c r="K34" s="363"/>
      <c r="L34" s="362">
        <v>7</v>
      </c>
      <c r="M34" s="363"/>
      <c r="N34" s="362">
        <v>8</v>
      </c>
      <c r="O34" s="367"/>
      <c r="P34" s="361"/>
      <c r="Q34" s="352"/>
      <c r="R34" s="352"/>
      <c r="S34" s="352"/>
      <c r="T34" s="352"/>
      <c r="U34" s="352"/>
      <c r="V34" s="352"/>
      <c r="W34" s="352"/>
      <c r="X34" s="352"/>
      <c r="Y34" s="352"/>
      <c r="Z34" s="352"/>
      <c r="AA34" s="352"/>
      <c r="AB34" s="352"/>
      <c r="AC34" s="352"/>
      <c r="AD34" s="352"/>
      <c r="AE34" s="352"/>
      <c r="AF34" s="352"/>
      <c r="AG34" s="352"/>
      <c r="AH34" s="352"/>
      <c r="AI34" s="352"/>
      <c r="AJ34" s="352"/>
      <c r="AK34" s="371"/>
      <c r="AL34" s="371"/>
      <c r="AM34" s="371"/>
      <c r="AN34" s="371"/>
      <c r="AO34" s="193"/>
    </row>
    <row r="35" spans="1:41" ht="16.5" thickBot="1">
      <c r="A35" s="362" t="s">
        <v>249</v>
      </c>
      <c r="B35" s="367"/>
      <c r="C35" s="209">
        <v>5</v>
      </c>
      <c r="D35" s="362">
        <v>60</v>
      </c>
      <c r="E35" s="367"/>
      <c r="F35" s="368">
        <v>9</v>
      </c>
      <c r="G35" s="367"/>
      <c r="H35" s="368">
        <v>248</v>
      </c>
      <c r="I35" s="367"/>
      <c r="J35" s="368">
        <f>D35*F35*H35/100</f>
        <v>1339.2</v>
      </c>
      <c r="K35" s="363"/>
      <c r="L35" s="369">
        <f>3.66179*1.18*1.06</f>
        <v>4.580166932</v>
      </c>
      <c r="M35" s="370"/>
      <c r="N35" s="364">
        <f>L35*J35</f>
        <v>6133.7595553344</v>
      </c>
      <c r="O35" s="366"/>
      <c r="P35" s="361"/>
      <c r="Q35" s="352"/>
      <c r="R35" s="352"/>
      <c r="S35" s="352"/>
      <c r="T35" s="352"/>
      <c r="U35" s="352"/>
      <c r="V35" s="352"/>
      <c r="W35" s="352"/>
      <c r="X35" s="352"/>
      <c r="Y35" s="352"/>
      <c r="Z35" s="352"/>
      <c r="AA35" s="352"/>
      <c r="AB35" s="352"/>
      <c r="AC35" s="352"/>
      <c r="AD35" s="352"/>
      <c r="AE35" s="352"/>
      <c r="AF35" s="352"/>
      <c r="AG35" s="352"/>
      <c r="AH35" s="352"/>
      <c r="AI35" s="352"/>
      <c r="AJ35" s="352"/>
      <c r="AK35" s="351"/>
      <c r="AL35" s="351"/>
      <c r="AM35" s="351"/>
      <c r="AN35" s="351"/>
      <c r="AO35" s="193"/>
    </row>
    <row r="36" spans="1:41" ht="16.5" thickBot="1">
      <c r="A36" s="362" t="s">
        <v>10</v>
      </c>
      <c r="B36" s="363"/>
      <c r="C36" s="209" t="s">
        <v>76</v>
      </c>
      <c r="D36" s="362" t="s">
        <v>76</v>
      </c>
      <c r="E36" s="363"/>
      <c r="F36" s="362" t="s">
        <v>76</v>
      </c>
      <c r="G36" s="363"/>
      <c r="H36" s="362" t="s">
        <v>76</v>
      </c>
      <c r="I36" s="363"/>
      <c r="J36" s="362">
        <f>J35</f>
        <v>1339.2</v>
      </c>
      <c r="K36" s="363"/>
      <c r="L36" s="362" t="s">
        <v>76</v>
      </c>
      <c r="M36" s="363"/>
      <c r="N36" s="364">
        <f>N35</f>
        <v>6133.7595553344</v>
      </c>
      <c r="O36" s="365"/>
      <c r="P36" s="361"/>
      <c r="Q36" s="352"/>
      <c r="R36" s="352"/>
      <c r="S36" s="352"/>
      <c r="T36" s="352"/>
      <c r="U36" s="352"/>
      <c r="V36" s="352"/>
      <c r="W36" s="352"/>
      <c r="X36" s="352"/>
      <c r="Y36" s="352"/>
      <c r="Z36" s="352"/>
      <c r="AA36" s="352"/>
      <c r="AB36" s="352"/>
      <c r="AC36" s="352"/>
      <c r="AD36" s="352"/>
      <c r="AE36" s="352"/>
      <c r="AF36" s="352"/>
      <c r="AG36" s="352"/>
      <c r="AH36" s="352"/>
      <c r="AI36" s="352"/>
      <c r="AJ36" s="352"/>
      <c r="AK36" s="351"/>
      <c r="AL36" s="351"/>
      <c r="AM36" s="351"/>
      <c r="AN36" s="351"/>
      <c r="AO36" s="193"/>
    </row>
    <row r="37" spans="1:41" ht="15.75">
      <c r="A37" s="212"/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351"/>
      <c r="Q37" s="351"/>
      <c r="R37" s="351"/>
      <c r="S37" s="351"/>
      <c r="T37" s="351"/>
      <c r="U37" s="351"/>
      <c r="V37" s="351"/>
      <c r="W37" s="351"/>
      <c r="X37" s="351"/>
      <c r="Y37" s="351"/>
      <c r="Z37" s="351"/>
      <c r="AA37" s="351"/>
      <c r="AB37" s="351"/>
      <c r="AC37" s="351"/>
      <c r="AD37" s="351"/>
      <c r="AE37" s="351"/>
      <c r="AF37" s="351"/>
      <c r="AG37" s="351"/>
      <c r="AH37" s="351"/>
      <c r="AI37" s="351"/>
      <c r="AJ37" s="351"/>
      <c r="AK37" s="351"/>
      <c r="AL37" s="351"/>
      <c r="AM37" s="351"/>
      <c r="AN37" s="351"/>
      <c r="AO37" s="351"/>
    </row>
    <row r="38" spans="1:41" ht="16.5" thickBot="1">
      <c r="A38" s="191"/>
      <c r="B38" s="191"/>
      <c r="C38" s="191"/>
      <c r="D38" s="191"/>
      <c r="E38" s="192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351"/>
      <c r="Q38" s="351"/>
      <c r="R38" s="351"/>
      <c r="S38" s="351"/>
      <c r="T38" s="351"/>
      <c r="U38" s="351"/>
      <c r="V38" s="351"/>
      <c r="W38" s="351"/>
      <c r="X38" s="351"/>
      <c r="Y38" s="351"/>
      <c r="Z38" s="351"/>
      <c r="AA38" s="351"/>
      <c r="AB38" s="351"/>
      <c r="AC38" s="351"/>
      <c r="AD38" s="351"/>
      <c r="AE38" s="351"/>
      <c r="AF38" s="351"/>
      <c r="AG38" s="351"/>
      <c r="AH38" s="351"/>
      <c r="AI38" s="351"/>
      <c r="AJ38" s="351"/>
      <c r="AK38" s="351"/>
      <c r="AL38" s="351"/>
      <c r="AM38" s="351"/>
      <c r="AN38" s="351"/>
      <c r="AO38" s="351"/>
    </row>
    <row r="39" spans="1:41" ht="16.5" thickBot="1">
      <c r="A39" s="354" t="s">
        <v>250</v>
      </c>
      <c r="B39" s="355"/>
      <c r="C39" s="355"/>
      <c r="D39" s="355"/>
      <c r="E39" s="355"/>
      <c r="F39" s="355"/>
      <c r="G39" s="213"/>
      <c r="H39" s="356" t="s">
        <v>76</v>
      </c>
      <c r="I39" s="357"/>
      <c r="J39" s="358" t="s">
        <v>76</v>
      </c>
      <c r="K39" s="357"/>
      <c r="L39" s="358" t="s">
        <v>76</v>
      </c>
      <c r="M39" s="357"/>
      <c r="N39" s="359">
        <f>O7+N13+N19+N25+N30+N36</f>
        <v>14307.159993338104</v>
      </c>
      <c r="O39" s="360"/>
      <c r="P39" s="361"/>
      <c r="Q39" s="352"/>
      <c r="R39" s="352"/>
      <c r="S39" s="352"/>
      <c r="T39" s="352"/>
      <c r="U39" s="352"/>
      <c r="V39" s="352"/>
      <c r="W39" s="352"/>
      <c r="X39" s="352"/>
      <c r="Y39" s="352"/>
      <c r="Z39" s="352"/>
      <c r="AA39" s="352"/>
      <c r="AB39" s="352"/>
      <c r="AC39" s="352"/>
      <c r="AD39" s="352"/>
      <c r="AE39" s="352"/>
      <c r="AF39" s="352"/>
      <c r="AG39" s="352"/>
      <c r="AH39" s="352"/>
      <c r="AI39" s="352"/>
      <c r="AJ39" s="352"/>
      <c r="AK39" s="352"/>
      <c r="AL39" s="352"/>
      <c r="AM39" s="353"/>
      <c r="AN39" s="353"/>
      <c r="AO39" s="353"/>
    </row>
    <row r="40" spans="1:41" ht="15.75">
      <c r="A40" s="212"/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351"/>
      <c r="Q40" s="351"/>
      <c r="R40" s="351"/>
      <c r="S40" s="351"/>
      <c r="T40" s="351"/>
      <c r="U40" s="351"/>
      <c r="V40" s="351"/>
      <c r="W40" s="351"/>
      <c r="X40" s="351"/>
      <c r="Y40" s="351"/>
      <c r="Z40" s="351"/>
      <c r="AA40" s="351"/>
      <c r="AB40" s="351"/>
      <c r="AC40" s="351"/>
      <c r="AD40" s="351"/>
      <c r="AE40" s="351"/>
      <c r="AF40" s="351"/>
      <c r="AG40" s="351"/>
      <c r="AH40" s="351"/>
      <c r="AI40" s="351"/>
      <c r="AJ40" s="351"/>
      <c r="AK40" s="351"/>
      <c r="AL40" s="351"/>
      <c r="AM40" s="351"/>
      <c r="AN40" s="351"/>
      <c r="AO40" s="351"/>
    </row>
  </sheetData>
  <sheetProtection password="81F5" sheet="1" formatCells="0" formatColumns="0" formatRows="0" insertColumns="0" insertRows="0" insertHyperlinks="0" deleteColumns="0" deleteRows="0" sort="0" autoFilter="0" pivotTables="0"/>
  <mergeCells count="228">
    <mergeCell ref="A1:J1"/>
    <mergeCell ref="P1:AO1"/>
    <mergeCell ref="P2:AO2"/>
    <mergeCell ref="A3:D3"/>
    <mergeCell ref="P3:AO3"/>
    <mergeCell ref="P4:AO4"/>
    <mergeCell ref="P5:AO5"/>
    <mergeCell ref="P6:AO6"/>
    <mergeCell ref="P7:AO7"/>
    <mergeCell ref="P8:AO8"/>
    <mergeCell ref="A9:B9"/>
    <mergeCell ref="P9:AO9"/>
    <mergeCell ref="P10:AO10"/>
    <mergeCell ref="A11:B11"/>
    <mergeCell ref="D11:E11"/>
    <mergeCell ref="F11:G11"/>
    <mergeCell ref="H11:I11"/>
    <mergeCell ref="J11:K11"/>
    <mergeCell ref="L11:M11"/>
    <mergeCell ref="N11:O11"/>
    <mergeCell ref="P11:AO11"/>
    <mergeCell ref="P13:AO13"/>
    <mergeCell ref="A12:B12"/>
    <mergeCell ref="D12:E12"/>
    <mergeCell ref="F12:G12"/>
    <mergeCell ref="H12:I12"/>
    <mergeCell ref="J12:K12"/>
    <mergeCell ref="L12:M12"/>
    <mergeCell ref="N17:O17"/>
    <mergeCell ref="N12:O12"/>
    <mergeCell ref="P12:AO12"/>
    <mergeCell ref="A13:B13"/>
    <mergeCell ref="D13:E13"/>
    <mergeCell ref="F13:G13"/>
    <mergeCell ref="H13:I13"/>
    <mergeCell ref="J13:K13"/>
    <mergeCell ref="L13:M13"/>
    <mergeCell ref="N13:O13"/>
    <mergeCell ref="P18:AO18"/>
    <mergeCell ref="P14:AO14"/>
    <mergeCell ref="P15:AO15"/>
    <mergeCell ref="P16:AO16"/>
    <mergeCell ref="A17:B17"/>
    <mergeCell ref="D17:E17"/>
    <mergeCell ref="F17:G17"/>
    <mergeCell ref="H17:I17"/>
    <mergeCell ref="J17:K17"/>
    <mergeCell ref="L17:M17"/>
    <mergeCell ref="J19:K19"/>
    <mergeCell ref="L19:M19"/>
    <mergeCell ref="P17:AO17"/>
    <mergeCell ref="A18:B18"/>
    <mergeCell ref="D18:E18"/>
    <mergeCell ref="F18:G18"/>
    <mergeCell ref="H18:I18"/>
    <mergeCell ref="J18:K18"/>
    <mergeCell ref="L18:M18"/>
    <mergeCell ref="N18:O18"/>
    <mergeCell ref="N19:O19"/>
    <mergeCell ref="P19:AO19"/>
    <mergeCell ref="P20:AO20"/>
    <mergeCell ref="A21:B21"/>
    <mergeCell ref="P21:R21"/>
    <mergeCell ref="S21:AO21"/>
    <mergeCell ref="A19:B19"/>
    <mergeCell ref="D19:E19"/>
    <mergeCell ref="F19:G19"/>
    <mergeCell ref="H19:I19"/>
    <mergeCell ref="P22:AO22"/>
    <mergeCell ref="A23:B23"/>
    <mergeCell ref="D23:E23"/>
    <mergeCell ref="F23:G23"/>
    <mergeCell ref="H23:I23"/>
    <mergeCell ref="J23:K23"/>
    <mergeCell ref="L23:M23"/>
    <mergeCell ref="N23:O23"/>
    <mergeCell ref="P23:R23"/>
    <mergeCell ref="S23:U23"/>
    <mergeCell ref="AK23:AN23"/>
    <mergeCell ref="A24:B24"/>
    <mergeCell ref="D24:E24"/>
    <mergeCell ref="F24:G24"/>
    <mergeCell ref="H24:I24"/>
    <mergeCell ref="J24:K24"/>
    <mergeCell ref="V24:Y24"/>
    <mergeCell ref="Z24:AB24"/>
    <mergeCell ref="V23:Y23"/>
    <mergeCell ref="Z23:AB23"/>
    <mergeCell ref="AC23:AF23"/>
    <mergeCell ref="AG23:AJ23"/>
    <mergeCell ref="L25:M25"/>
    <mergeCell ref="N25:O25"/>
    <mergeCell ref="L24:M24"/>
    <mergeCell ref="N24:O24"/>
    <mergeCell ref="P24:R24"/>
    <mergeCell ref="S24:U24"/>
    <mergeCell ref="AC25:AF25"/>
    <mergeCell ref="AG25:AJ25"/>
    <mergeCell ref="AC24:AF24"/>
    <mergeCell ref="AG24:AJ24"/>
    <mergeCell ref="AK24:AN24"/>
    <mergeCell ref="A25:B25"/>
    <mergeCell ref="D25:E25"/>
    <mergeCell ref="F25:G25"/>
    <mergeCell ref="H25:I25"/>
    <mergeCell ref="J25:K25"/>
    <mergeCell ref="AK25:AN25"/>
    <mergeCell ref="P26:AO26"/>
    <mergeCell ref="A27:B27"/>
    <mergeCell ref="P27:R27"/>
    <mergeCell ref="S27:AO27"/>
    <mergeCell ref="P25:R25"/>
    <mergeCell ref="S25:U25"/>
    <mergeCell ref="V25:Y25"/>
    <mergeCell ref="Z25:AB25"/>
    <mergeCell ref="A28:B28"/>
    <mergeCell ref="D28:E28"/>
    <mergeCell ref="F28:G28"/>
    <mergeCell ref="H28:I28"/>
    <mergeCell ref="J28:K28"/>
    <mergeCell ref="L28:M28"/>
    <mergeCell ref="N28:O28"/>
    <mergeCell ref="P28:R28"/>
    <mergeCell ref="S28:U28"/>
    <mergeCell ref="V28:Y28"/>
    <mergeCell ref="Z28:AB28"/>
    <mergeCell ref="AC28:AF28"/>
    <mergeCell ref="AG28:AJ28"/>
    <mergeCell ref="AK28:AN28"/>
    <mergeCell ref="A29:B29"/>
    <mergeCell ref="D29:E29"/>
    <mergeCell ref="F29:G29"/>
    <mergeCell ref="H29:I29"/>
    <mergeCell ref="J29:K29"/>
    <mergeCell ref="L29:M29"/>
    <mergeCell ref="N29:O29"/>
    <mergeCell ref="P29:R29"/>
    <mergeCell ref="S29:U29"/>
    <mergeCell ref="V29:Y29"/>
    <mergeCell ref="Z29:AB29"/>
    <mergeCell ref="AC29:AF29"/>
    <mergeCell ref="AG29:AJ29"/>
    <mergeCell ref="AK29:AN29"/>
    <mergeCell ref="Z30:AB30"/>
    <mergeCell ref="AC30:AF30"/>
    <mergeCell ref="A30:B30"/>
    <mergeCell ref="D30:E30"/>
    <mergeCell ref="F30:G30"/>
    <mergeCell ref="H30:I30"/>
    <mergeCell ref="J30:K30"/>
    <mergeCell ref="L30:M30"/>
    <mergeCell ref="AG30:AJ30"/>
    <mergeCell ref="AK30:AN30"/>
    <mergeCell ref="P31:AO31"/>
    <mergeCell ref="A32:B32"/>
    <mergeCell ref="P32:R32"/>
    <mergeCell ref="S32:AO32"/>
    <mergeCell ref="N30:O30"/>
    <mergeCell ref="P30:R30"/>
    <mergeCell ref="S30:U30"/>
    <mergeCell ref="V30:Y30"/>
    <mergeCell ref="A33:B33"/>
    <mergeCell ref="D33:E33"/>
    <mergeCell ref="F33:G33"/>
    <mergeCell ref="H33:I33"/>
    <mergeCell ref="J33:K33"/>
    <mergeCell ref="L33:M33"/>
    <mergeCell ref="N33:O33"/>
    <mergeCell ref="P33:AO33"/>
    <mergeCell ref="A34:B34"/>
    <mergeCell ref="D34:E34"/>
    <mergeCell ref="F34:G34"/>
    <mergeCell ref="H34:I34"/>
    <mergeCell ref="J34:K34"/>
    <mergeCell ref="L34:M34"/>
    <mergeCell ref="N34:O34"/>
    <mergeCell ref="P34:R34"/>
    <mergeCell ref="S34:U34"/>
    <mergeCell ref="V34:Y34"/>
    <mergeCell ref="Z34:AB34"/>
    <mergeCell ref="AC34:AF34"/>
    <mergeCell ref="AG34:AJ34"/>
    <mergeCell ref="AK34:AN34"/>
    <mergeCell ref="A35:B35"/>
    <mergeCell ref="D35:E35"/>
    <mergeCell ref="F35:G35"/>
    <mergeCell ref="H35:I35"/>
    <mergeCell ref="J35:K35"/>
    <mergeCell ref="L35:M35"/>
    <mergeCell ref="N35:O35"/>
    <mergeCell ref="P35:R35"/>
    <mergeCell ref="S35:U35"/>
    <mergeCell ref="V35:Y35"/>
    <mergeCell ref="Z35:AB35"/>
    <mergeCell ref="AC35:AF35"/>
    <mergeCell ref="AG35:AJ35"/>
    <mergeCell ref="AK35:AN35"/>
    <mergeCell ref="A36:B36"/>
    <mergeCell ref="D36:E36"/>
    <mergeCell ref="F36:G36"/>
    <mergeCell ref="H36:I36"/>
    <mergeCell ref="J36:K36"/>
    <mergeCell ref="L36:M36"/>
    <mergeCell ref="N36:O36"/>
    <mergeCell ref="P36:R36"/>
    <mergeCell ref="A39:F39"/>
    <mergeCell ref="H39:I39"/>
    <mergeCell ref="J39:K39"/>
    <mergeCell ref="L39:M39"/>
    <mergeCell ref="N39:O39"/>
    <mergeCell ref="P39:Q39"/>
    <mergeCell ref="AG36:AJ36"/>
    <mergeCell ref="AK36:AN36"/>
    <mergeCell ref="P37:AO37"/>
    <mergeCell ref="P38:AO38"/>
    <mergeCell ref="S36:U36"/>
    <mergeCell ref="V36:Y36"/>
    <mergeCell ref="Z36:AB36"/>
    <mergeCell ref="AC36:AF36"/>
    <mergeCell ref="P40:AO40"/>
    <mergeCell ref="AJ39:AL39"/>
    <mergeCell ref="AM39:AO39"/>
    <mergeCell ref="R39:T39"/>
    <mergeCell ref="U39:W39"/>
    <mergeCell ref="X39:Z39"/>
    <mergeCell ref="AA39:AD39"/>
    <mergeCell ref="AE39:AG39"/>
    <mergeCell ref="AH39:AI39"/>
  </mergeCells>
  <printOptions/>
  <pageMargins left="0.31496062992125984" right="0.31496062992125984" top="0.35433070866141736" bottom="0.35433070866141736" header="0.31496062992125984" footer="0.31496062992125984"/>
  <pageSetup fitToHeight="7" horizontalDpi="600" verticalDpi="600" orientation="landscape" paperSize="9" scale="97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Атлант</dc:creator>
  <cp:keywords/>
  <dc:description/>
  <cp:lastModifiedBy>User</cp:lastModifiedBy>
  <cp:lastPrinted>2012-09-10T03:10:47Z</cp:lastPrinted>
  <dcterms:created xsi:type="dcterms:W3CDTF">2005-10-03T06:54:59Z</dcterms:created>
  <dcterms:modified xsi:type="dcterms:W3CDTF">2012-12-03T10:33:47Z</dcterms:modified>
  <cp:category/>
  <cp:version/>
  <cp:contentType/>
  <cp:contentStatus/>
</cp:coreProperties>
</file>